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 UNIDAD D\Daniel\DGE\DATOS\ESTADÍSTICAS\Fuente DGE\Prefinales 2021\2 Febrero\"/>
    </mc:Choice>
  </mc:AlternateContent>
  <bookViews>
    <workbookView xWindow="0" yWindow="0" windowWidth="20490" windowHeight="7755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(G)'!$A$1:$K$80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52511"/>
</workbook>
</file>

<file path=xl/calcChain.xml><?xml version="1.0" encoding="utf-8"?>
<calcChain xmlns="http://schemas.openxmlformats.org/spreadsheetml/2006/main">
  <c r="G15" i="1" l="1"/>
  <c r="F57" i="1" l="1"/>
  <c r="I57" i="1"/>
  <c r="E57" i="1" l="1"/>
  <c r="H57" i="1" l="1"/>
  <c r="F58" i="6" l="1"/>
  <c r="F29" i="1" l="1"/>
  <c r="F12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31" i="2" s="1"/>
  <c r="G28" i="2"/>
  <c r="D28" i="2" l="1"/>
  <c r="D33" i="2"/>
  <c r="D32" i="2"/>
  <c r="D31" i="2" l="1"/>
  <c r="H28" i="2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56" i="2" s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S24" i="1"/>
  <c r="E29" i="1"/>
  <c r="R24" i="1" s="1"/>
  <c r="F25" i="1"/>
  <c r="E25" i="1"/>
  <c r="E16" i="1"/>
  <c r="D16" i="1"/>
  <c r="F13" i="1"/>
  <c r="F14" i="1"/>
  <c r="D56" i="6" s="1"/>
  <c r="F15" i="1"/>
  <c r="R25" i="1" l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12" i="1" s="1"/>
  <c r="G25" i="1"/>
  <c r="G29" i="1"/>
  <c r="F32" i="1"/>
  <c r="E30" i="2" s="1"/>
  <c r="G13" i="1" l="1"/>
  <c r="D17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32" i="1"/>
  <c r="G14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<sst xmlns="http://schemas.openxmlformats.org/spreadsheetml/2006/main" count="308" uniqueCount="132">
  <si>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</si>
  <si>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</si>
  <si>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</si>
  <si>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</si>
  <si>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</si>
  <si>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</si>
  <si>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</si>
  <si>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</si>
  <si>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</si>
  <si>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</si>
  <si>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</si>
  <si>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</si>
  <si>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</si>
  <si>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</si>
  <si>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</si>
  <si>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</si>
  <si>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</si>
  <si>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</si>
  <si>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</si>
  <si>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</si>
  <si>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</si>
  <si>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</si>
  <si>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</si>
  <si>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</si>
  <si>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</si>
  <si>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</si>
  <si>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</si>
  <si>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</si>
  <si>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</si>
  <si>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</si>
  <si>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</si>
  <si>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</si>
  <si>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</si>
  <si>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</si>
  <si>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</si>
  <si>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</si>
  <si>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</si>
  <si>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</si>
  <si>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</si>
  <si>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</si>
  <si>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</si>
  <si>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</si>
  <si>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</si>
  <si>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</si>
  <si>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</si>
  <si>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</si>
  <si>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</si>
  <si>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</si>
  <si>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</si>
  <si>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</si>
  <si>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</si>
  <si>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</si>
  <si>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</si>
  <si>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</si>
  <si>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</si>
  <si>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</si>
  <si>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</si>
  <si>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</si>
  <si>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</si>
  <si>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</si>
  <si>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</si>
  <si>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</si>
  <si>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</si>
  <si>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</si>
  <si>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</si>
  <si>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</si>
  <si>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</si>
  <si>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</si>
  <si>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</si>
  <si>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</si>
  <si>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</si>
  <si>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</si>
  <si>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</si>
  <si>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</si>
  <si>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</si>
  <si>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</si>
  <si>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</si>
  <si>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</si>
  <si>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</si>
  <si>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</si>
  <si>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</si>
  <si>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</si>
  <si>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</si>
  <si>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</si>
  <si>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</si>
  <si>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</si>
  <si>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</si>
  <si>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</si>
  <si>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</si>
  <si>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</si>
  <si>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</si>
  <si>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</si>
  <si>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</si>
  <si>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</si>
  <si>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</si>
  <si>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</si>
  <si>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</si>
  <si>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</si>
  <si>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</si>
  <si>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</si>
  <si>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</si>
  <si>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</si>
  <si>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</si>
  <si>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</si>
  <si>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</si>
  <si>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</si>
  <si>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</si>
  <si>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</si>
  <si>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</si>
  <si>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</si>
  <si>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</si>
  <si>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</si>
  <si>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</si>
  <si>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</si>
  <si>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</si>
  <si>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</si>
  <si>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(1)</t>
    </r>
  </si>
  <si>
    <t>(1): Incluye información de Recursos Renovables No Convencionales de Aislados</t>
  </si>
  <si>
    <t>1. RESUMEN NACIONAL AL MES DE ENERO 2021</t>
  </si>
  <si>
    <t>Enero</t>
  </si>
  <si>
    <t>Total Anual</t>
  </si>
  <si>
    <t>Cuadro N° 2 : Producción de energía eléctrica nacional según sistema y mercado 2021 vs 2020</t>
  </si>
  <si>
    <t>Cuadro N° 3 : Producción de energía eléctrica nacional según  mercado 2021 vs 2020</t>
  </si>
  <si>
    <t>Cuadro N° 4 : Producción de energía eléctrica nacional según destino y recurso 2021 vs 2020</t>
  </si>
  <si>
    <t>Cuadro N° 5: Producción de energía eléctrica nacional por tipo de recurso energético 2021 vs 2020</t>
  </si>
  <si>
    <t>Cuadro N° 6: Producción de energía eléctrica con Recurso Convencional y No Convencional 2021 vs 2020</t>
  </si>
  <si>
    <t>Cuadro N° 7: Producción de energía eléctrica según tipo de participación en el Mercado Eléctrico 2021 vs 2020</t>
  </si>
  <si>
    <t>Grafico N° 11: Generación de energía eléctrica por Región, al mes de enero 2021</t>
  </si>
  <si>
    <t>Cuadro N° 8: Producción de energía eléctrica nacional por zona del país, al mes de enero</t>
  </si>
  <si>
    <t>3.1 Producción de energía eléctrica (GWh) nacional según zona 2021 vs 2020</t>
  </si>
  <si>
    <t>3.2 Producción de energía eléctrica (GWh) por origen y zona al mes de enero 2021</t>
  </si>
  <si>
    <t>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</si>
</sst>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_-* #,##0.00_-;\-* #,##0.00_-;_-* &quot;-&quot;??_-;_-@_-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15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8" xfId="0" applyFill="1" applyBorder="1"/>
    <xf numFmtId="0" fontId="0" fillId="0" borderId="18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2" xfId="0" applyFont="1" applyBorder="1"/>
    <xf numFmtId="0" fontId="0" fillId="0" borderId="22" xfId="0" applyFont="1" applyFill="1" applyBorder="1"/>
    <xf numFmtId="1" fontId="0" fillId="0" borderId="22" xfId="0" applyNumberFormat="1" applyFont="1" applyFill="1" applyBorder="1"/>
    <xf numFmtId="1" fontId="0" fillId="0" borderId="22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0" xfId="33743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4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2" xfId="0" applyNumberFormat="1" applyFont="1" applyFill="1" applyBorder="1" applyAlignment="1">
      <alignment horizontal="center" vertical="center"/>
    </xf>
    <xf numFmtId="3" fontId="95" fillId="70" borderId="66" xfId="0" applyNumberFormat="1" applyFont="1" applyFill="1" applyBorder="1" applyAlignment="1">
      <alignment horizontal="center" vertical="center"/>
    </xf>
    <xf numFmtId="178" fontId="98" fillId="70" borderId="29" xfId="33743" applyNumberFormat="1" applyFont="1" applyFill="1" applyBorder="1" applyAlignment="1">
      <alignment horizontal="center" vertical="center"/>
    </xf>
    <xf numFmtId="178" fontId="98" fillId="70" borderId="63" xfId="33743" applyNumberFormat="1" applyFont="1" applyFill="1" applyBorder="1" applyAlignment="1">
      <alignment horizontal="center" vertical="center"/>
    </xf>
    <xf numFmtId="178" fontId="98" fillId="70" borderId="67" xfId="33743" applyNumberFormat="1" applyFont="1" applyFill="1" applyBorder="1" applyAlignment="1">
      <alignment horizontal="center" vertical="center"/>
    </xf>
    <xf numFmtId="10" fontId="95" fillId="70" borderId="64" xfId="33743" applyNumberFormat="1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28" xfId="0" applyFont="1" applyFill="1" applyBorder="1" applyAlignment="1">
      <alignment horizontal="center"/>
    </xf>
    <xf numFmtId="3" fontId="95" fillId="70" borderId="34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3" xfId="0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8" fillId="70" borderId="18" xfId="0" applyFont="1" applyFill="1" applyBorder="1" applyAlignment="1">
      <alignment horizontal="center" wrapText="1"/>
    </xf>
    <xf numFmtId="178" fontId="98" fillId="70" borderId="50" xfId="33743" applyNumberFormat="1" applyFont="1" applyFill="1" applyBorder="1"/>
    <xf numFmtId="0" fontId="99" fillId="0" borderId="16" xfId="0" applyFont="1" applyBorder="1"/>
    <xf numFmtId="0" fontId="99" fillId="0" borderId="68" xfId="0" applyFont="1" applyBorder="1"/>
    <xf numFmtId="0" fontId="99" fillId="0" borderId="68" xfId="0" applyNumberFormat="1" applyFont="1" applyBorder="1" applyAlignment="1">
      <alignment vertical="center"/>
    </xf>
    <xf numFmtId="0" fontId="99" fillId="0" borderId="69" xfId="0" applyFont="1" applyBorder="1"/>
    <xf numFmtId="164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8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0" xfId="0" applyFont="1" applyFill="1" applyBorder="1" applyAlignment="1">
      <alignment horizontal="center"/>
    </xf>
    <xf numFmtId="0" fontId="0" fillId="69" borderId="47" xfId="0" applyFont="1" applyFill="1" applyBorder="1" applyAlignment="1">
      <alignment horizontal="center"/>
    </xf>
    <xf numFmtId="178" fontId="96" fillId="69" borderId="21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0" xfId="0" applyFont="1" applyFill="1" applyBorder="1"/>
    <xf numFmtId="0" fontId="0" fillId="68" borderId="37" xfId="0" applyFont="1" applyFill="1" applyBorder="1"/>
    <xf numFmtId="0" fontId="0" fillId="68" borderId="28" xfId="0" applyFont="1" applyFill="1" applyBorder="1"/>
    <xf numFmtId="0" fontId="0" fillId="68" borderId="40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0" xfId="0" applyNumberFormat="1" applyFont="1" applyFill="1" applyBorder="1"/>
    <xf numFmtId="3" fontId="0" fillId="68" borderId="37" xfId="0" applyNumberFormat="1" applyFont="1" applyFill="1" applyBorder="1"/>
    <xf numFmtId="3" fontId="0" fillId="68" borderId="28" xfId="0" applyNumberFormat="1" applyFont="1" applyFill="1" applyBorder="1"/>
    <xf numFmtId="4" fontId="0" fillId="68" borderId="37" xfId="0" applyNumberFormat="1" applyFont="1" applyFill="1" applyBorder="1"/>
    <xf numFmtId="0" fontId="0" fillId="68" borderId="25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4" fontId="0" fillId="68" borderId="36" xfId="0" applyNumberFormat="1" applyFont="1" applyFill="1" applyBorder="1"/>
    <xf numFmtId="3" fontId="0" fillId="68" borderId="27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46" xfId="0" applyFill="1" applyBorder="1"/>
    <xf numFmtId="0" fontId="104" fillId="68" borderId="29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4" xfId="0" applyFill="1" applyBorder="1"/>
    <xf numFmtId="0" fontId="92" fillId="68" borderId="28" xfId="0" applyFont="1" applyFill="1" applyBorder="1" applyAlignment="1">
      <alignment horizontal="center"/>
    </xf>
    <xf numFmtId="0" fontId="104" fillId="68" borderId="24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28" xfId="0" applyNumberFormat="1" applyFill="1" applyBorder="1"/>
    <xf numFmtId="9" fontId="96" fillId="68" borderId="30" xfId="33743" applyFont="1" applyFill="1" applyBorder="1" applyAlignment="1">
      <alignment horizontal="center"/>
    </xf>
    <xf numFmtId="0" fontId="0" fillId="68" borderId="25" xfId="0" applyFill="1" applyBorder="1" applyAlignment="1">
      <alignment horizontal="left" indent="5"/>
    </xf>
    <xf numFmtId="3" fontId="0" fillId="68" borderId="27" xfId="0" applyNumberFormat="1" applyFill="1" applyBorder="1"/>
    <xf numFmtId="9" fontId="96" fillId="68" borderId="32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1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55" xfId="0" applyNumberFormat="1" applyFont="1" applyFill="1" applyBorder="1" applyAlignment="1">
      <alignment vertical="center"/>
    </xf>
    <xf numFmtId="9" fontId="96" fillId="68" borderId="23" xfId="33743" applyNumberFormat="1" applyFont="1" applyFill="1" applyBorder="1" applyAlignment="1">
      <alignment horizontal="center" vertical="center"/>
    </xf>
    <xf numFmtId="0" fontId="0" fillId="68" borderId="44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56" xfId="0" applyNumberFormat="1" applyFont="1" applyFill="1" applyBorder="1" applyAlignment="1">
      <alignment vertical="center"/>
    </xf>
    <xf numFmtId="9" fontId="96" fillId="68" borderId="30" xfId="33743" applyNumberFormat="1" applyFont="1" applyFill="1" applyBorder="1" applyAlignment="1">
      <alignment horizontal="center" vertical="center"/>
    </xf>
    <xf numFmtId="0" fontId="0" fillId="68" borderId="43" xfId="0" applyFont="1" applyFill="1" applyBorder="1" applyAlignment="1">
      <alignment vertical="center"/>
    </xf>
    <xf numFmtId="4" fontId="0" fillId="68" borderId="25" xfId="0" applyNumberFormat="1" applyFont="1" applyFill="1" applyBorder="1" applyAlignment="1">
      <alignment vertical="center"/>
    </xf>
    <xf numFmtId="4" fontId="0" fillId="68" borderId="58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3" xfId="0" applyFont="1" applyFill="1" applyBorder="1" applyAlignment="1">
      <alignment horizontal="center" wrapText="1"/>
    </xf>
    <xf numFmtId="0" fontId="3" fillId="71" borderId="35" xfId="0" applyFont="1" applyFill="1" applyBorder="1" applyAlignment="1">
      <alignment horizontal="center" wrapText="1"/>
    </xf>
    <xf numFmtId="0" fontId="3" fillId="71" borderId="26" xfId="0" applyFont="1" applyFill="1" applyBorder="1" applyAlignment="1">
      <alignment horizontal="center" vertical="center"/>
    </xf>
    <xf numFmtId="9" fontId="96" fillId="71" borderId="38" xfId="33743" applyFont="1" applyFill="1" applyBorder="1" applyAlignment="1">
      <alignment horizontal="center" vertical="center"/>
    </xf>
    <xf numFmtId="0" fontId="3" fillId="71" borderId="25" xfId="0" applyFont="1" applyFill="1" applyBorder="1" applyAlignment="1">
      <alignment horizontal="left" indent="2"/>
    </xf>
    <xf numFmtId="0" fontId="0" fillId="71" borderId="32" xfId="0" applyFont="1" applyFill="1" applyBorder="1"/>
    <xf numFmtId="0" fontId="0" fillId="71" borderId="36" xfId="0" applyFont="1" applyFill="1" applyBorder="1"/>
    <xf numFmtId="0" fontId="0" fillId="71" borderId="27" xfId="0" applyFont="1" applyFill="1" applyBorder="1"/>
    <xf numFmtId="0" fontId="0" fillId="71" borderId="39" xfId="0" applyFont="1" applyFill="1" applyBorder="1"/>
    <xf numFmtId="3" fontId="0" fillId="71" borderId="33" xfId="0" applyNumberFormat="1" applyFill="1" applyBorder="1"/>
    <xf numFmtId="178" fontId="96" fillId="71" borderId="31" xfId="33743" applyNumberFormat="1" applyFont="1" applyFill="1" applyBorder="1" applyAlignment="1">
      <alignment horizontal="center"/>
    </xf>
    <xf numFmtId="3" fontId="0" fillId="71" borderId="34" xfId="0" applyNumberFormat="1" applyFont="1" applyFill="1" applyBorder="1"/>
    <xf numFmtId="178" fontId="96" fillId="71" borderId="21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6" xfId="33743" applyNumberFormat="1" applyFont="1" applyFill="1" applyBorder="1"/>
    <xf numFmtId="3" fontId="93" fillId="68" borderId="55" xfId="0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56" xfId="0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0" xfId="33743" applyNumberFormat="1" applyFont="1" applyFill="1" applyBorder="1"/>
    <xf numFmtId="3" fontId="93" fillId="68" borderId="71" xfId="0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8" xfId="0" applyFont="1" applyFill="1" applyBorder="1" applyAlignment="1">
      <alignment horizontal="center"/>
    </xf>
    <xf numFmtId="3" fontId="95" fillId="69" borderId="34" xfId="0" applyNumberFormat="1" applyFont="1" applyFill="1" applyBorder="1"/>
    <xf numFmtId="3" fontId="95" fillId="69" borderId="57" xfId="0" applyNumberFormat="1" applyFont="1" applyFill="1" applyBorder="1"/>
    <xf numFmtId="178" fontId="98" fillId="69" borderId="53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4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4" xfId="33744" applyNumberFormat="1" applyFont="1" applyFill="1" applyBorder="1"/>
    <xf numFmtId="180" fontId="95" fillId="70" borderId="50" xfId="33744" applyNumberFormat="1" applyFont="1" applyFill="1" applyBorder="1"/>
    <xf numFmtId="3" fontId="99" fillId="0" borderId="73" xfId="0" applyNumberFormat="1" applyFont="1" applyBorder="1"/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4" xfId="0" applyNumberFormat="1" applyFont="1" applyFill="1" applyBorder="1"/>
    <xf numFmtId="0" fontId="92" fillId="69" borderId="75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77" xfId="0" applyFont="1" applyFill="1" applyBorder="1" applyAlignment="1">
      <alignment horizontal="center"/>
    </xf>
    <xf numFmtId="3" fontId="0" fillId="71" borderId="78" xfId="0" applyNumberFormat="1" applyFill="1" applyBorder="1"/>
    <xf numFmtId="3" fontId="0" fillId="68" borderId="77" xfId="0" applyNumberFormat="1" applyFill="1" applyBorder="1"/>
    <xf numFmtId="3" fontId="0" fillId="68" borderId="79" xfId="0" applyNumberFormat="1" applyFill="1" applyBorder="1"/>
    <xf numFmtId="3" fontId="0" fillId="71" borderId="80" xfId="0" applyNumberFormat="1" applyFont="1" applyFill="1" applyBorder="1"/>
    <xf numFmtId="0" fontId="92" fillId="0" borderId="77" xfId="0" applyFont="1" applyBorder="1" applyAlignment="1">
      <alignment horizontal="center"/>
    </xf>
    <xf numFmtId="0" fontId="92" fillId="69" borderId="77" xfId="0" applyFont="1" applyFill="1" applyBorder="1" applyAlignment="1">
      <alignment horizontal="center"/>
    </xf>
    <xf numFmtId="3" fontId="99" fillId="0" borderId="81" xfId="0" applyNumberFormat="1" applyFont="1" applyBorder="1"/>
    <xf numFmtId="3" fontId="99" fillId="0" borderId="82" xfId="0" applyNumberFormat="1" applyFont="1" applyBorder="1"/>
    <xf numFmtId="3" fontId="99" fillId="0" borderId="83" xfId="0" applyNumberFormat="1" applyFont="1" applyBorder="1"/>
    <xf numFmtId="3" fontId="95" fillId="70" borderId="80" xfId="0" applyNumberFormat="1" applyFont="1" applyFill="1" applyBorder="1"/>
    <xf numFmtId="178" fontId="98" fillId="70" borderId="84" xfId="33743" applyNumberFormat="1" applyFont="1" applyFill="1" applyBorder="1"/>
    <xf numFmtId="0" fontId="0" fillId="71" borderId="85" xfId="0" applyFont="1" applyFill="1" applyBorder="1" applyAlignment="1">
      <alignment horizontal="center"/>
    </xf>
    <xf numFmtId="3" fontId="0" fillId="71" borderId="86" xfId="0" applyNumberFormat="1" applyFont="1" applyFill="1" applyBorder="1"/>
    <xf numFmtId="3" fontId="0" fillId="71" borderId="87" xfId="0" applyNumberFormat="1" applyFont="1" applyFill="1" applyBorder="1"/>
    <xf numFmtId="3" fontId="0" fillId="71" borderId="88" xfId="0" applyNumberFormat="1" applyFont="1" applyFill="1" applyBorder="1"/>
    <xf numFmtId="0" fontId="0" fillId="71" borderId="89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0" xfId="0" applyNumberFormat="1" applyFont="1" applyFill="1" applyBorder="1"/>
    <xf numFmtId="0" fontId="0" fillId="71" borderId="91" xfId="0" applyFont="1" applyFill="1" applyBorder="1"/>
    <xf numFmtId="3" fontId="0" fillId="68" borderId="81" xfId="0" applyNumberFormat="1" applyFont="1" applyFill="1" applyBorder="1" applyAlignment="1">
      <alignment vertical="center"/>
    </xf>
    <xf numFmtId="3" fontId="0" fillId="68" borderId="77" xfId="0" applyNumberFormat="1" applyFont="1" applyFill="1" applyBorder="1" applyAlignment="1">
      <alignment vertical="center"/>
    </xf>
    <xf numFmtId="3" fontId="95" fillId="70" borderId="93" xfId="0" applyNumberFormat="1" applyFont="1" applyFill="1" applyBorder="1" applyAlignment="1">
      <alignment horizontal="center" vertical="center"/>
    </xf>
    <xf numFmtId="178" fontId="98" fillId="70" borderId="94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96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97" xfId="0" applyNumberFormat="1" applyFill="1" applyBorder="1"/>
    <xf numFmtId="3" fontId="0" fillId="68" borderId="99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5" xfId="0" applyFill="1" applyBorder="1" applyAlignment="1">
      <alignment horizontal="left" indent="3"/>
    </xf>
    <xf numFmtId="0" fontId="0" fillId="68" borderId="43" xfId="0" applyFill="1" applyBorder="1" applyAlignment="1"/>
    <xf numFmtId="0" fontId="0" fillId="68" borderId="35" xfId="0" applyFill="1" applyBorder="1" applyAlignment="1">
      <alignment horizontal="left" indent="1"/>
    </xf>
    <xf numFmtId="0" fontId="0" fillId="68" borderId="100" xfId="0" applyFill="1" applyBorder="1" applyAlignment="1">
      <alignment horizontal="left" indent="1"/>
    </xf>
    <xf numFmtId="0" fontId="0" fillId="68" borderId="90" xfId="0" applyFill="1" applyBorder="1" applyAlignment="1">
      <alignment horizontal="left" indent="1"/>
    </xf>
    <xf numFmtId="9" fontId="96" fillId="68" borderId="30" xfId="33743" applyNumberFormat="1" applyFont="1" applyFill="1" applyBorder="1" applyAlignment="1">
      <alignment horizontal="center"/>
    </xf>
    <xf numFmtId="9" fontId="96" fillId="68" borderId="98" xfId="33743" applyNumberFormat="1" applyFont="1" applyFill="1" applyBorder="1" applyAlignment="1">
      <alignment horizontal="center"/>
    </xf>
    <xf numFmtId="0" fontId="0" fillId="68" borderId="35" xfId="0" applyFill="1" applyBorder="1" applyAlignment="1">
      <alignment vertical="center" wrapText="1"/>
    </xf>
    <xf numFmtId="0" fontId="0" fillId="68" borderId="100" xfId="0" applyFill="1" applyBorder="1"/>
    <xf numFmtId="0" fontId="0" fillId="68" borderId="37" xfId="0" applyFill="1" applyBorder="1" applyAlignment="1">
      <alignment wrapText="1"/>
    </xf>
    <xf numFmtId="0" fontId="0" fillId="68" borderId="90" xfId="0" applyFill="1" applyBorder="1"/>
    <xf numFmtId="0" fontId="0" fillId="68" borderId="36" xfId="0" applyFill="1" applyBorder="1"/>
    <xf numFmtId="167" fontId="100" fillId="62" borderId="0" xfId="0" applyNumberFormat="1" applyFont="1" applyFill="1" applyBorder="1"/>
    <xf numFmtId="3" fontId="99" fillId="0" borderId="55" xfId="0" applyNumberFormat="1" applyFont="1" applyBorder="1"/>
    <xf numFmtId="3" fontId="99" fillId="0" borderId="102" xfId="0" applyNumberFormat="1" applyFont="1" applyBorder="1"/>
    <xf numFmtId="3" fontId="99" fillId="0" borderId="103" xfId="0" applyNumberFormat="1" applyFont="1" applyBorder="1"/>
    <xf numFmtId="3" fontId="95" fillId="69" borderId="101" xfId="0" applyNumberFormat="1" applyFont="1" applyFill="1" applyBorder="1"/>
    <xf numFmtId="0" fontId="0" fillId="68" borderId="17" xfId="0" applyFont="1" applyFill="1" applyBorder="1" applyAlignment="1">
      <alignment vertical="center" wrapText="1"/>
    </xf>
    <xf numFmtId="3" fontId="0" fillId="68" borderId="60" xfId="0" applyNumberFormat="1" applyFill="1" applyBorder="1" applyAlignment="1">
      <alignment horizontal="center" vertical="center"/>
    </xf>
    <xf numFmtId="3" fontId="0" fillId="68" borderId="65" xfId="0" applyNumberFormat="1" applyFill="1" applyBorder="1" applyAlignment="1">
      <alignment horizontal="center" vertical="center"/>
    </xf>
    <xf numFmtId="3" fontId="0" fillId="68" borderId="92" xfId="0" applyNumberFormat="1" applyFill="1" applyBorder="1" applyAlignment="1">
      <alignment horizontal="center" vertical="center"/>
    </xf>
    <xf numFmtId="0" fontId="0" fillId="68" borderId="18" xfId="0" applyFont="1" applyFill="1" applyBorder="1" applyAlignment="1">
      <alignment wrapText="1"/>
    </xf>
    <xf numFmtId="3" fontId="0" fillId="68" borderId="61" xfId="0" applyNumberFormat="1" applyFill="1" applyBorder="1" applyAlignment="1">
      <alignment horizontal="center" vertical="center"/>
    </xf>
    <xf numFmtId="3" fontId="0" fillId="68" borderId="57" xfId="0" applyNumberFormat="1" applyFill="1" applyBorder="1" applyAlignment="1">
      <alignment horizontal="center" vertical="center"/>
    </xf>
    <xf numFmtId="3" fontId="0" fillId="68" borderId="80" xfId="0" applyNumberFormat="1" applyFill="1" applyBorder="1" applyAlignment="1">
      <alignment horizontal="center" vertical="center"/>
    </xf>
    <xf numFmtId="0" fontId="0" fillId="68" borderId="25" xfId="0" applyFill="1" applyBorder="1" applyAlignment="1">
      <alignment horizontal="left" indent="2"/>
    </xf>
    <xf numFmtId="9" fontId="96" fillId="68" borderId="32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46" xfId="0" applyFont="1" applyFill="1" applyBorder="1" applyAlignment="1">
      <alignment horizontal="center" vertical="center"/>
    </xf>
    <xf numFmtId="0" fontId="3" fillId="70" borderId="44" xfId="0" applyFont="1" applyFill="1" applyBorder="1" applyAlignment="1">
      <alignment horizontal="center" vertical="center"/>
    </xf>
    <xf numFmtId="0" fontId="3" fillId="70" borderId="52" xfId="0" applyFont="1" applyFill="1" applyBorder="1" applyAlignment="1">
      <alignment horizontal="center" vertical="center"/>
    </xf>
    <xf numFmtId="3" fontId="3" fillId="69" borderId="50" xfId="0" applyNumberFormat="1" applyFont="1" applyFill="1" applyBorder="1" applyAlignment="1">
      <alignment vertical="center"/>
    </xf>
    <xf numFmtId="3" fontId="3" fillId="69" borderId="57" xfId="0" applyNumberFormat="1" applyFont="1" applyFill="1" applyBorder="1" applyAlignment="1">
      <alignment vertical="center"/>
    </xf>
    <xf numFmtId="178" fontId="96" fillId="69" borderId="53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 applyAlignment="1">
      <alignment vertical="center"/>
    </xf>
    <xf numFmtId="178" fontId="96" fillId="69" borderId="21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06" xfId="0" applyBorder="1" applyAlignment="1">
      <alignment horizontal="center" vertical="center"/>
    </xf>
    <xf numFmtId="0" fontId="0" fillId="68" borderId="107" xfId="0" applyFill="1" applyBorder="1" applyAlignment="1">
      <alignment wrapText="1"/>
    </xf>
    <xf numFmtId="9" fontId="96" fillId="68" borderId="109" xfId="33743" applyNumberFormat="1" applyFont="1" applyFill="1" applyBorder="1" applyAlignment="1">
      <alignment horizontal="center"/>
    </xf>
    <xf numFmtId="167" fontId="99" fillId="0" borderId="102" xfId="0" applyNumberFormat="1" applyFont="1" applyBorder="1"/>
    <xf numFmtId="9" fontId="103" fillId="71" borderId="24" xfId="33743" applyNumberFormat="1" applyFont="1" applyFill="1" applyBorder="1" applyAlignment="1">
      <alignment horizontal="center"/>
    </xf>
    <xf numFmtId="9" fontId="103" fillId="71" borderId="90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46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58" xfId="0" applyNumberFormat="1" applyFill="1" applyBorder="1"/>
    <xf numFmtId="3" fontId="3" fillId="69" borderId="57" xfId="0" applyNumberFormat="1" applyFont="1" applyFill="1" applyBorder="1"/>
    <xf numFmtId="3" fontId="0" fillId="68" borderId="55" xfId="0" applyNumberFormat="1" applyFill="1" applyBorder="1"/>
    <xf numFmtId="0" fontId="95" fillId="70" borderId="18" xfId="0" applyFont="1" applyFill="1" applyBorder="1" applyAlignment="1">
      <alignment horizontal="center" vertical="center"/>
    </xf>
    <xf numFmtId="164" fontId="0" fillId="0" borderId="0" xfId="33743" applyNumberFormat="1" applyFont="1" applyBorder="1"/>
    <xf numFmtId="180" fontId="0" fillId="0" borderId="0" xfId="0" applyNumberFormat="1" applyFill="1" applyBorder="1"/>
    <xf numFmtId="0" fontId="0" fillId="67" borderId="15" xfId="0" applyFill="1" applyBorder="1"/>
    <xf numFmtId="180" fontId="0" fillId="68" borderId="26" xfId="33744" applyNumberFormat="1" applyFont="1" applyFill="1" applyBorder="1"/>
    <xf numFmtId="180" fontId="0" fillId="68" borderId="28" xfId="33744" applyNumberFormat="1" applyFont="1" applyFill="1" applyBorder="1"/>
    <xf numFmtId="180" fontId="0" fillId="68" borderId="70" xfId="33744" applyNumberFormat="1" applyFont="1" applyFill="1" applyBorder="1"/>
    <xf numFmtId="3" fontId="93" fillId="68" borderId="81" xfId="33743" applyNumberFormat="1" applyFont="1" applyFill="1" applyBorder="1"/>
    <xf numFmtId="3" fontId="93" fillId="68" borderId="77" xfId="33743" applyNumberFormat="1" applyFont="1" applyFill="1" applyBorder="1"/>
    <xf numFmtId="3" fontId="93" fillId="68" borderId="95" xfId="33743" applyNumberFormat="1" applyFont="1" applyFill="1" applyBorder="1"/>
    <xf numFmtId="3" fontId="95" fillId="69" borderId="80" xfId="0" applyNumberFormat="1" applyFont="1" applyFill="1" applyBorder="1"/>
    <xf numFmtId="0" fontId="92" fillId="69" borderId="111" xfId="0" applyFont="1" applyFill="1" applyBorder="1" applyAlignment="1">
      <alignment horizontal="center"/>
    </xf>
    <xf numFmtId="167" fontId="99" fillId="0" borderId="82" xfId="0" applyNumberFormat="1" applyFont="1" applyBorder="1"/>
    <xf numFmtId="167" fontId="99" fillId="0" borderId="73" xfId="0" applyNumberFormat="1" applyFont="1" applyBorder="1"/>
    <xf numFmtId="0" fontId="0" fillId="0" borderId="22" xfId="0" applyFont="1" applyBorder="1" applyAlignment="1">
      <alignment horizontal="center"/>
    </xf>
    <xf numFmtId="0" fontId="95" fillId="70" borderId="112" xfId="0" applyFont="1" applyFill="1" applyBorder="1" applyAlignment="1">
      <alignment horizontal="center"/>
    </xf>
    <xf numFmtId="180" fontId="0" fillId="68" borderId="113" xfId="33744" applyNumberFormat="1" applyFont="1" applyFill="1" applyBorder="1"/>
    <xf numFmtId="180" fontId="0" fillId="68" borderId="114" xfId="33744" applyNumberFormat="1" applyFont="1" applyFill="1" applyBorder="1"/>
    <xf numFmtId="180" fontId="0" fillId="68" borderId="115" xfId="33744" applyNumberFormat="1" applyFont="1" applyFill="1" applyBorder="1"/>
    <xf numFmtId="180" fontId="95" fillId="70" borderId="116" xfId="33744" applyNumberFormat="1" applyFont="1" applyFill="1" applyBorder="1"/>
    <xf numFmtId="0" fontId="92" fillId="68" borderId="54" xfId="0" applyFont="1" applyFill="1" applyBorder="1" applyAlignment="1">
      <alignment horizontal="center"/>
    </xf>
    <xf numFmtId="3" fontId="0" fillId="71" borderId="117" xfId="0" applyNumberFormat="1" applyFill="1" applyBorder="1"/>
    <xf numFmtId="3" fontId="0" fillId="68" borderId="56" xfId="0" applyNumberFormat="1" applyFill="1" applyBorder="1"/>
    <xf numFmtId="3" fontId="0" fillId="68" borderId="118" xfId="0" applyNumberFormat="1" applyFill="1" applyBorder="1"/>
    <xf numFmtId="3" fontId="0" fillId="71" borderId="57" xfId="0" applyNumberFormat="1" applyFont="1" applyFill="1" applyBorder="1"/>
    <xf numFmtId="0" fontId="92" fillId="0" borderId="54" xfId="0" applyFont="1" applyBorder="1" applyAlignment="1">
      <alignment horizontal="center"/>
    </xf>
    <xf numFmtId="0" fontId="95" fillId="70" borderId="78" xfId="0" applyFont="1" applyFill="1" applyBorder="1" applyAlignment="1">
      <alignment horizontal="center"/>
    </xf>
    <xf numFmtId="180" fontId="0" fillId="68" borderId="81" xfId="33744" applyNumberFormat="1" applyFont="1" applyFill="1" applyBorder="1"/>
    <xf numFmtId="180" fontId="0" fillId="68" borderId="77" xfId="33744" applyNumberFormat="1" applyFont="1" applyFill="1" applyBorder="1"/>
    <xf numFmtId="180" fontId="0" fillId="68" borderId="95" xfId="33744" applyNumberFormat="1" applyFont="1" applyFill="1" applyBorder="1"/>
    <xf numFmtId="180" fontId="95" fillId="70" borderId="80" xfId="33744" applyNumberFormat="1" applyFont="1" applyFill="1" applyBorder="1"/>
    <xf numFmtId="43" fontId="0" fillId="0" borderId="0" xfId="0" applyNumberFormat="1"/>
    <xf numFmtId="9" fontId="96" fillId="68" borderId="53" xfId="33743" applyNumberFormat="1" applyFont="1" applyFill="1" applyBorder="1" applyAlignment="1">
      <alignment horizontal="center" vertical="center"/>
    </xf>
    <xf numFmtId="9" fontId="96" fillId="68" borderId="21" xfId="33743" applyNumberFormat="1" applyFont="1" applyFill="1" applyBorder="1" applyAlignment="1">
      <alignment horizontal="center" vertical="center"/>
    </xf>
    <xf numFmtId="9" fontId="98" fillId="68" borderId="23" xfId="33743" applyNumberFormat="1" applyFont="1" applyFill="1" applyBorder="1"/>
    <xf numFmtId="9" fontId="98" fillId="68" borderId="30" xfId="33743" applyNumberFormat="1" applyFont="1" applyFill="1" applyBorder="1"/>
    <xf numFmtId="9" fontId="98" fillId="68" borderId="24" xfId="33743" applyNumberFormat="1" applyFont="1" applyFill="1" applyBorder="1"/>
    <xf numFmtId="9" fontId="98" fillId="0" borderId="16" xfId="33743" applyFont="1" applyBorder="1"/>
    <xf numFmtId="9" fontId="98" fillId="0" borderId="68" xfId="33743" applyFont="1" applyBorder="1"/>
    <xf numFmtId="9" fontId="98" fillId="0" borderId="68" xfId="33743" applyNumberFormat="1" applyFont="1" applyBorder="1"/>
    <xf numFmtId="9" fontId="98" fillId="0" borderId="69" xfId="33743" applyFont="1" applyBorder="1"/>
    <xf numFmtId="167" fontId="0" fillId="68" borderId="27" xfId="0" applyNumberFormat="1" applyFill="1" applyBorder="1"/>
    <xf numFmtId="167" fontId="0" fillId="68" borderId="58" xfId="0" applyNumberFormat="1" applyFill="1" applyBorder="1"/>
    <xf numFmtId="167" fontId="0" fillId="68" borderId="55" xfId="0" applyNumberFormat="1" applyFill="1" applyBorder="1"/>
    <xf numFmtId="167" fontId="0" fillId="68" borderId="28" xfId="0" applyNumberFormat="1" applyFill="1" applyBorder="1"/>
    <xf numFmtId="9" fontId="103" fillId="68" borderId="40" xfId="33743" applyNumberFormat="1" applyFont="1" applyFill="1" applyBorder="1" applyAlignment="1">
      <alignment horizontal="center"/>
    </xf>
    <xf numFmtId="9" fontId="103" fillId="68" borderId="39" xfId="33743" applyNumberFormat="1" applyFont="1" applyFill="1" applyBorder="1" applyAlignment="1">
      <alignment horizontal="center"/>
    </xf>
    <xf numFmtId="180" fontId="0" fillId="68" borderId="40" xfId="33744" applyNumberFormat="1" applyFont="1" applyFill="1" applyBorder="1"/>
    <xf numFmtId="43" fontId="0" fillId="68" borderId="114" xfId="33744" applyNumberFormat="1" applyFont="1" applyFill="1" applyBorder="1"/>
    <xf numFmtId="4" fontId="99" fillId="0" borderId="26" xfId="0" applyNumberFormat="1" applyFont="1" applyBorder="1"/>
    <xf numFmtId="4" fontId="99" fillId="0" borderId="55" xfId="0" applyNumberFormat="1" applyFont="1" applyBorder="1"/>
    <xf numFmtId="3" fontId="0" fillId="0" borderId="26" xfId="0" applyNumberFormat="1" applyFill="1" applyBorder="1" applyAlignment="1">
      <alignment vertical="center"/>
    </xf>
    <xf numFmtId="3" fontId="0" fillId="0" borderId="55" xfId="0" applyNumberFormat="1" applyFill="1" applyBorder="1" applyAlignment="1">
      <alignment vertical="center"/>
    </xf>
    <xf numFmtId="3" fontId="0" fillId="0" borderId="97" xfId="0" applyNumberFormat="1" applyFill="1" applyBorder="1"/>
    <xf numFmtId="3" fontId="0" fillId="0" borderId="118" xfId="0" applyNumberFormat="1" applyFill="1" applyBorder="1"/>
    <xf numFmtId="3" fontId="0" fillId="0" borderId="81" xfId="0" applyNumberFormat="1" applyFill="1" applyBorder="1" applyAlignment="1">
      <alignment vertical="center"/>
    </xf>
    <xf numFmtId="3" fontId="0" fillId="0" borderId="99" xfId="0" applyNumberFormat="1" applyFill="1" applyBorder="1"/>
    <xf numFmtId="3" fontId="0" fillId="0" borderId="108" xfId="0" applyNumberFormat="1" applyFill="1" applyBorder="1"/>
    <xf numFmtId="3" fontId="0" fillId="0" borderId="119" xfId="0" applyNumberFormat="1" applyFill="1" applyBorder="1"/>
    <xf numFmtId="3" fontId="0" fillId="0" borderId="110" xfId="0" applyNumberFormat="1" applyFill="1" applyBorder="1"/>
    <xf numFmtId="178" fontId="96" fillId="68" borderId="109" xfId="33743" applyNumberFormat="1" applyFont="1" applyFill="1" applyBorder="1" applyAlignment="1">
      <alignment horizontal="center"/>
    </xf>
    <xf numFmtId="3" fontId="0" fillId="68" borderId="79" xfId="0" applyNumberFormat="1" applyFont="1" applyFill="1" applyBorder="1" applyAlignment="1">
      <alignment vertical="center"/>
    </xf>
    <xf numFmtId="3" fontId="0" fillId="68" borderId="58" xfId="0" applyNumberFormat="1" applyFont="1" applyFill="1" applyBorder="1" applyAlignment="1">
      <alignment vertical="center"/>
    </xf>
    <xf numFmtId="0" fontId="0" fillId="71" borderId="47" xfId="0" applyFont="1" applyFill="1" applyBorder="1" applyAlignment="1">
      <alignment horizontal="center"/>
    </xf>
    <xf numFmtId="0" fontId="0" fillId="71" borderId="48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71" borderId="20" xfId="0" applyFont="1" applyFill="1" applyBorder="1" applyAlignment="1">
      <alignment horizontal="center"/>
    </xf>
    <xf numFmtId="0" fontId="3" fillId="71" borderId="45" xfId="0" applyFont="1" applyFill="1" applyBorder="1" applyAlignment="1">
      <alignment horizont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1" xfId="0" applyFont="1" applyFill="1" applyBorder="1" applyAlignment="1">
      <alignment horizontal="center"/>
    </xf>
    <xf numFmtId="0" fontId="3" fillId="68" borderId="42" xfId="0" applyFont="1" applyFill="1" applyBorder="1" applyAlignment="1">
      <alignment horizontal="center"/>
    </xf>
    <xf numFmtId="0" fontId="104" fillId="0" borderId="29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92" fillId="68" borderId="76" xfId="0" applyFont="1" applyFill="1" applyBorder="1" applyAlignment="1">
      <alignment horizontal="center"/>
    </xf>
    <xf numFmtId="0" fontId="92" fillId="68" borderId="42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46" xfId="0" applyFont="1" applyFill="1" applyBorder="1" applyAlignment="1">
      <alignment horizontal="center"/>
    </xf>
    <xf numFmtId="0" fontId="92" fillId="69" borderId="76" xfId="0" applyFont="1" applyFill="1" applyBorder="1" applyAlignment="1">
      <alignment horizontal="center" vertical="center"/>
    </xf>
    <xf numFmtId="0" fontId="92" fillId="69" borderId="49" xfId="0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3" fillId="70" borderId="46" xfId="0" applyFont="1" applyFill="1" applyBorder="1" applyAlignment="1">
      <alignment horizontal="center" vertical="center"/>
    </xf>
    <xf numFmtId="0" fontId="3" fillId="70" borderId="59" xfId="0" applyFont="1" applyFill="1" applyBorder="1" applyAlignment="1">
      <alignment horizontal="center" vertical="center"/>
    </xf>
    <xf numFmtId="0" fontId="3" fillId="69" borderId="49" xfId="0" applyFont="1" applyFill="1" applyBorder="1" applyAlignment="1">
      <alignment horizontal="center" vertical="center"/>
    </xf>
    <xf numFmtId="0" fontId="3" fillId="69" borderId="41" xfId="0" applyFont="1" applyFill="1" applyBorder="1" applyAlignment="1">
      <alignment horizontal="center" vertical="center"/>
    </xf>
    <xf numFmtId="0" fontId="3" fillId="69" borderId="42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2" xfId="0" quotePrefix="1" applyNumberFormat="1" applyFont="1" applyFill="1" applyBorder="1" applyAlignment="1">
      <alignment horizontal="center"/>
    </xf>
    <xf numFmtId="0" fontId="95" fillId="70" borderId="19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178" fontId="98" fillId="0" borderId="16" xfId="33743" applyNumberFormat="1" applyFont="1" applyBorder="1"/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Enero 2021</a:t>
            </a:r>
          </a:p>
          <a:p>
            <a:pPr>
              <a:defRPr sz="800" b="1"/>
            </a:pPr>
            <a:r>
              <a:rPr lang="es-PE" sz="800" b="1"/>
              <a:t>Total : 4 916 GWh</a:t>
            </a:r>
          </a:p>
        </c:rich>
      </c:tx>
      <c:layout>
        <c:manualLayout>
          <c:xMode val="edge"/>
          <c:yMode val="edge"/>
          <c:x val="0.15346189164370982"/>
          <c:y val="3.57218533360085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47-4B77-B331-5D7ABFB940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63.633773866354005</c:v>
                </c:pt>
                <c:pt idx="1">
                  <c:v>163.62970422776741</c:v>
                </c:pt>
                <c:pt idx="2">
                  <c:v>3384.1443023626648</c:v>
                </c:pt>
                <c:pt idx="3">
                  <c:v>1071.9749558300475</c:v>
                </c:pt>
                <c:pt idx="4">
                  <c:v>232.12125713749998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A7-482F-8F07-827CA96EB1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0A7-482F-8F07-827CA96EB1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2812.1371444736915</c:v>
                </c:pt>
                <c:pt idx="2" formatCode="_(* #,##0.00_);_(* \(#,##0.00\);_(* &quot;-&quot;??_);_(@_)">
                  <c:v>6.4619999999999999E-3</c:v>
                </c:pt>
                <c:pt idx="3">
                  <c:v>1050.7843094581394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69.976519904999975</c:v>
                </c:pt>
                <c:pt idx="1">
                  <c:v>483.6071515286543</c:v>
                </c:pt>
                <c:pt idx="2">
                  <c:v>72.941591459999927</c:v>
                </c:pt>
                <c:pt idx="3">
                  <c:v>4.671353028845715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38-45A7-BE0F-57B660BBCB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3862.9279159318307</c:v>
                </c:pt>
                <c:pt idx="1">
                  <c:v>631.19661592249986</c:v>
                </c:pt>
                <c:pt idx="2">
                  <c:v>369.67946156999994</c:v>
                </c:pt>
                <c:pt idx="3">
                  <c:v>51.7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94230104"/>
        <c:axId val="494230496"/>
      </c:barChart>
      <c:catAx>
        <c:axId val="49423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4230496"/>
        <c:crosses val="autoZero"/>
        <c:auto val="1"/>
        <c:lblAlgn val="ctr"/>
        <c:lblOffset val="100"/>
        <c:noMultiLvlLbl val="0"/>
      </c:catAx>
      <c:valAx>
        <c:axId val="49423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4230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HUANUCO</c:v>
                </c:pt>
                <c:pt idx="3">
                  <c:v>JUNIN</c:v>
                </c:pt>
                <c:pt idx="4">
                  <c:v>ANCASH</c:v>
                </c:pt>
                <c:pt idx="5">
                  <c:v>CALLAO</c:v>
                </c:pt>
                <c:pt idx="6">
                  <c:v>CUSCO</c:v>
                </c:pt>
                <c:pt idx="7">
                  <c:v>CAJAMARCA</c:v>
                </c:pt>
                <c:pt idx="8">
                  <c:v>PUNO</c:v>
                </c:pt>
                <c:pt idx="9">
                  <c:v>AREQUIPA</c:v>
                </c:pt>
                <c:pt idx="10">
                  <c:v>LA LIBERTAD</c:v>
                </c:pt>
                <c:pt idx="11">
                  <c:v>PIURA</c:v>
                </c:pt>
                <c:pt idx="12">
                  <c:v>PASCO</c:v>
                </c:pt>
                <c:pt idx="13">
                  <c:v>ICA</c:v>
                </c:pt>
                <c:pt idx="14">
                  <c:v>MOQUEGUA</c:v>
                </c:pt>
                <c:pt idx="15">
                  <c:v>LORETO</c:v>
                </c:pt>
                <c:pt idx="16">
                  <c:v>TACNA</c:v>
                </c:pt>
                <c:pt idx="17">
                  <c:v>UCAYALI</c:v>
                </c:pt>
                <c:pt idx="18">
                  <c:v>APURIMAC</c:v>
                </c:pt>
                <c:pt idx="19">
                  <c:v>LAMBAYEQUE</c:v>
                </c:pt>
                <c:pt idx="20">
                  <c:v>SAN MARTÍN</c:v>
                </c:pt>
                <c:pt idx="21">
                  <c:v>AMAZONAS</c:v>
                </c:pt>
                <c:pt idx="22">
                  <c:v>AYACUCHO</c:v>
                </c:pt>
                <c:pt idx="23">
                  <c:v>MADRE DE DIOS</c:v>
                </c:pt>
                <c:pt idx="24">
                  <c:v>TUMBES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1512.397323341831</c:v>
                </c:pt>
                <c:pt idx="1">
                  <c:v>1014.2298274074998</c:v>
                </c:pt>
                <c:pt idx="2">
                  <c:v>356.52896897250008</c:v>
                </c:pt>
                <c:pt idx="3">
                  <c:v>323.74057382999973</c:v>
                </c:pt>
                <c:pt idx="4">
                  <c:v>275.55230767750004</c:v>
                </c:pt>
                <c:pt idx="5">
                  <c:v>270.57015764749991</c:v>
                </c:pt>
                <c:pt idx="6">
                  <c:v>201.09250794749985</c:v>
                </c:pt>
                <c:pt idx="7">
                  <c:v>138.64873839749995</c:v>
                </c:pt>
                <c:pt idx="8">
                  <c:v>123.58976815500003</c:v>
                </c:pt>
                <c:pt idx="9">
                  <c:v>120.34755074750007</c:v>
                </c:pt>
                <c:pt idx="10">
                  <c:v>114.14313711749999</c:v>
                </c:pt>
                <c:pt idx="11">
                  <c:v>105.87149947500002</c:v>
                </c:pt>
                <c:pt idx="12">
                  <c:v>102.33142960500001</c:v>
                </c:pt>
                <c:pt idx="13">
                  <c:v>101.91997902999998</c:v>
                </c:pt>
                <c:pt idx="14">
                  <c:v>64.281721994999955</c:v>
                </c:pt>
                <c:pt idx="15">
                  <c:v>51.7</c:v>
                </c:pt>
                <c:pt idx="16">
                  <c:v>14.662386082499999</c:v>
                </c:pt>
                <c:pt idx="17">
                  <c:v>7.5773274500000003</c:v>
                </c:pt>
                <c:pt idx="18">
                  <c:v>4.4024999999999999</c:v>
                </c:pt>
                <c:pt idx="19">
                  <c:v>4.1560865800000002</c:v>
                </c:pt>
                <c:pt idx="20">
                  <c:v>3.95</c:v>
                </c:pt>
                <c:pt idx="21">
                  <c:v>2.91</c:v>
                </c:pt>
                <c:pt idx="22">
                  <c:v>0.84899999999999998</c:v>
                </c:pt>
                <c:pt idx="23">
                  <c:v>5.1201965000000002E-2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94230888"/>
        <c:axId val="494224224"/>
      </c:barChart>
      <c:catAx>
        <c:axId val="49423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94224224"/>
        <c:crosses val="autoZero"/>
        <c:auto val="1"/>
        <c:lblAlgn val="ctr"/>
        <c:lblOffset val="100"/>
        <c:noMultiLvlLbl val="0"/>
      </c:catAx>
      <c:valAx>
        <c:axId val="494224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942308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72817887096451E-3"/>
                  <c:y val="1.217656012176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3344.8288529493011</c:v>
                </c:pt>
                <c:pt idx="1">
                  <c:v>1454.0593928245064</c:v>
                </c:pt>
                <c:pt idx="2">
                  <c:v>112.89675227750001</c:v>
                </c:pt>
                <c:pt idx="3">
                  <c:v>57.716277254999994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3447.778076229019</c:v>
                </c:pt>
                <c:pt idx="1">
                  <c:v>1235.604660057815</c:v>
                </c:pt>
                <c:pt idx="2">
                  <c:v>159.17320367750006</c:v>
                </c:pt>
                <c:pt idx="3">
                  <c:v>72.948053459999926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064664"/>
        <c:axId val="492951128"/>
      </c:barChart>
      <c:catAx>
        <c:axId val="368064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2951128"/>
        <c:crosses val="autoZero"/>
        <c:auto val="1"/>
        <c:lblAlgn val="ctr"/>
        <c:lblOffset val="100"/>
        <c:noMultiLvlLbl val="0"/>
      </c:catAx>
      <c:valAx>
        <c:axId val="4929511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6806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225.66483652622875</c:v>
                </c:pt>
                <c:pt idx="1">
                  <c:v>218.32921027042528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4743.8364387800793</c:v>
                </c:pt>
                <c:pt idx="1">
                  <c:v>4697.1747831539078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2957008"/>
        <c:axId val="492949560"/>
        <c:axId val="447922704"/>
      </c:bar3DChart>
      <c:catAx>
        <c:axId val="49295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2949560"/>
        <c:crosses val="autoZero"/>
        <c:auto val="1"/>
        <c:lblAlgn val="ctr"/>
        <c:lblOffset val="100"/>
        <c:noMultiLvlLbl val="0"/>
      </c:catAx>
      <c:valAx>
        <c:axId val="49294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2957008"/>
        <c:crosses val="autoZero"/>
        <c:crossBetween val="between"/>
      </c:valAx>
      <c:serAx>
        <c:axId val="447922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294956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3113.6811368618014</c:v>
                </c:pt>
                <c:pt idx="1">
                  <c:v>3194.2516745015191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1410.3527922820067</c:v>
                </c:pt>
                <c:pt idx="1">
                  <c:v>1196.1375588676269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231.14771608749987</c:v>
                </c:pt>
                <c:pt idx="1">
                  <c:v>253.52640172750009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214.31963007499999</c:v>
                </c:pt>
                <c:pt idx="1">
                  <c:v>271.58835832768796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2954656"/>
        <c:axId val="492950344"/>
        <c:axId val="0"/>
      </c:bar3DChart>
      <c:catAx>
        <c:axId val="4929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2950344"/>
        <c:crosses val="autoZero"/>
        <c:auto val="1"/>
        <c:lblAlgn val="ctr"/>
        <c:lblOffset val="100"/>
        <c:noMultiLvlLbl val="0"/>
      </c:catAx>
      <c:valAx>
        <c:axId val="49295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2954656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3447.778076229019</c:v>
                </c:pt>
                <c:pt idx="1">
                  <c:v>1114.5154033721492</c:v>
                </c:pt>
                <c:pt idx="2">
                  <c:v>81.294896087020788</c:v>
                </c:pt>
                <c:pt idx="3">
                  <c:v>39.467101190187975</c:v>
                </c:pt>
                <c:pt idx="4">
                  <c:v>159.17320367750006</c:v>
                </c:pt>
                <c:pt idx="5">
                  <c:v>72.948053459999926</c:v>
                </c:pt>
                <c:pt idx="6" formatCode="#,##0.0">
                  <c:v>0.32725940845553486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2951520"/>
        <c:axId val="492955048"/>
      </c:barChart>
      <c:catAx>
        <c:axId val="49295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2955048"/>
        <c:crosses val="autoZero"/>
        <c:auto val="1"/>
        <c:lblAlgn val="ctr"/>
        <c:lblOffset val="100"/>
        <c:noMultiLvlLbl val="0"/>
      </c:catAx>
      <c:valAx>
        <c:axId val="49295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295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37-4694-BAD5-10A4F4B042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37-4694-BAD5-10A4F4B042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4755.1816452313078</c:v>
                </c:pt>
                <c:pt idx="1">
                  <c:v>4643.915635096645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(1)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4E-4059-B774-614AB2D26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994604662395302E-2"/>
                  <c:y val="-1.77178400475521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44E-4059-B774-614AB2D26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214.31963007499999</c:v>
                </c:pt>
                <c:pt idx="1">
                  <c:v>271.58835832768796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92956224"/>
        <c:axId val="492952304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5330698249516567E-2"/>
                  <c:y val="3.8946785331142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0FD-488B-8AB7-48A84AE60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164834543561929E-2"/>
                  <c:y val="5.2008330613114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FD-488B-8AB7-48A84AE60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4.312698965185191E-2</c:v>
                </c:pt>
                <c:pt idx="1">
                  <c:v>5.5251375787915662E-2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953088"/>
        <c:axId val="492956616"/>
      </c:lineChart>
      <c:catAx>
        <c:axId val="4929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2952304"/>
        <c:crosses val="autoZero"/>
        <c:auto val="1"/>
        <c:lblAlgn val="ctr"/>
        <c:lblOffset val="100"/>
        <c:noMultiLvlLbl val="1"/>
      </c:catAx>
      <c:valAx>
        <c:axId val="4929523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2956224"/>
        <c:crosses val="autoZero"/>
        <c:crossBetween val="between"/>
        <c:majorUnit val="1000"/>
      </c:valAx>
      <c:valAx>
        <c:axId val="492956616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2953088"/>
        <c:crosses val="max"/>
        <c:crossBetween val="between"/>
      </c:valAx>
      <c:catAx>
        <c:axId val="492953088"/>
        <c:scaling>
          <c:orientation val="minMax"/>
        </c:scaling>
        <c:delete val="1"/>
        <c:axPos val="b"/>
        <c:majorTickMark val="out"/>
        <c:minorTickMark val="none"/>
        <c:tickLblPos val="nextTo"/>
        <c:crossAx val="492956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0693217125727976"/>
                  <c:y val="-0.122155179237783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6250284596303508"/>
                  <c:y val="0.220289381173108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053707138052757"/>
                  <c:y val="-7.42198169994102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1F6-4538-A631-E09024FD6E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2524437960552937"/>
                  <c:y val="-4.06505696609684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3344.8288529493011</c:v>
                </c:pt>
                <c:pt idx="1">
                  <c:v>1295.3892635875002</c:v>
                </c:pt>
                <c:pt idx="2">
                  <c:v>114.61552869450679</c:v>
                </c:pt>
                <c:pt idx="3" formatCode="#,##0.00">
                  <c:v>0.34799999999999998</c:v>
                </c:pt>
                <c:pt idx="4">
                  <c:v>43.706600542499984</c:v>
                </c:pt>
                <c:pt idx="5">
                  <c:v>112.89675227750001</c:v>
                </c:pt>
                <c:pt idx="6">
                  <c:v>57.716277254999994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6613689363606776"/>
                  <c:y val="-0.199220235088975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5907204892861787"/>
                  <c:y val="0.205453950500425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2117313151581134E-2"/>
                  <c:y val="-8.8379116927944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FCD-4ECA-B69A-AB2E7C5210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0371440557237165"/>
                  <c:y val="-6.5051112842930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3447.778076229019</c:v>
                </c:pt>
                <c:pt idx="1">
                  <c:v>1114.5154033721492</c:v>
                </c:pt>
                <c:pt idx="2">
                  <c:v>81.294896087020788</c:v>
                </c:pt>
                <c:pt idx="3" formatCode="#,##0.00">
                  <c:v>0.32725940845553486</c:v>
                </c:pt>
                <c:pt idx="4">
                  <c:v>39.467101190187975</c:v>
                </c:pt>
                <c:pt idx="5">
                  <c:v>159.17320367750006</c:v>
                </c:pt>
                <c:pt idx="6">
                  <c:v>72.948053459999926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DF3-4B8C-A071-F881905C8C1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89.19668377250008</c:v>
                </c:pt>
                <c:pt idx="1">
                  <c:v>152.03378022667246</c:v>
                </c:pt>
                <c:pt idx="2">
                  <c:v>0</c:v>
                </c:pt>
                <c:pt idx="3">
                  <c:v>128.4489975708274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enero 2021</a:t>
          </a:r>
        </a:p>
      </xdr:txBody>
    </xdr:sp>
    <xdr:clientData/>
  </xdr:twoCellAnchor>
  <xdr:twoCellAnchor>
    <xdr:from>
      <xdr:col>2</xdr:col>
      <xdr:colOff>337008</xdr:colOff>
      <xdr:row>59</xdr:row>
      <xdr:rowOff>0</xdr:rowOff>
    </xdr:from>
    <xdr:to>
      <xdr:col>8</xdr:col>
      <xdr:colOff>125016</xdr:colOff>
      <xdr:row>61</xdr:row>
      <xdr:rowOff>63500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067258" y="9993313"/>
          <a:ext cx="538394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2021 vs 2020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pSpPr/>
      </xdr:nvGrpSpPr>
      <xdr:grpSpPr>
        <a:xfrm>
          <a:off x="709894" y="1188664"/>
          <a:ext cx="6691032" cy="23314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xmlns="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015506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330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6555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xmlns="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190501</xdr:colOff>
      <xdr:row>18</xdr:row>
      <xdr:rowOff>39461</xdr:rowOff>
    </xdr:from>
    <xdr:to>
      <xdr:col>5</xdr:col>
      <xdr:colOff>520495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555626" y="3246211"/>
          <a:ext cx="3997119" cy="541790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xmlns="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xmlns="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xmlns="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xmlns="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xmlns="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xmlns="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356120</xdr:colOff>
      <xdr:row>19</xdr:row>
      <xdr:rowOff>45514</xdr:rowOff>
    </xdr:from>
    <xdr:to>
      <xdr:col>8</xdr:col>
      <xdr:colOff>625927</xdr:colOff>
      <xdr:row>43</xdr:row>
      <xdr:rowOff>149679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topLeftCell="A2" zoomScale="110" zoomScaleNormal="120" zoomScaleSheetLayoutView="110" workbookViewId="0">
      <selection activeCell="C3" sqref="C3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6.4257812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118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111</v>
      </c>
    </row>
    <row r="8" spans="2:19" s="1" customFormat="1">
      <c r="B8" s="8"/>
      <c r="C8" s="129"/>
      <c r="D8" s="129"/>
      <c r="E8" s="129"/>
      <c r="F8" s="129"/>
      <c r="G8" s="129"/>
      <c r="H8" s="9"/>
      <c r="I8" s="9"/>
      <c r="J8" s="9"/>
      <c r="K8" s="9"/>
    </row>
    <row r="9" spans="2:19" s="1" customFormat="1" ht="25.5">
      <c r="B9" s="8"/>
      <c r="C9" s="178" t="s">
        <v>62</v>
      </c>
      <c r="D9" s="179" t="s">
        <v>69</v>
      </c>
      <c r="E9" s="180" t="s">
        <v>70</v>
      </c>
      <c r="F9" s="181" t="s">
        <v>71</v>
      </c>
      <c r="G9" s="182" t="s">
        <v>72</v>
      </c>
      <c r="H9" s="9"/>
      <c r="I9" s="9"/>
      <c r="J9" s="9"/>
      <c r="K9" s="9"/>
    </row>
    <row r="10" spans="2:19" s="1" customFormat="1" ht="13.5" thickBot="1">
      <c r="B10" s="8"/>
      <c r="C10" s="183" t="s">
        <v>63</v>
      </c>
      <c r="D10" s="184"/>
      <c r="E10" s="185"/>
      <c r="F10" s="186"/>
      <c r="G10" s="187"/>
      <c r="H10" s="9"/>
      <c r="I10" s="9"/>
      <c r="J10" s="9"/>
      <c r="K10" s="9"/>
    </row>
    <row r="11" spans="2:19" s="1" customFormat="1" ht="13.5" thickTop="1">
      <c r="B11" s="8"/>
      <c r="C11" s="130"/>
      <c r="D11" s="131"/>
      <c r="E11" s="132"/>
      <c r="F11" s="133"/>
      <c r="G11" s="134"/>
      <c r="H11" s="9"/>
      <c r="I11" s="9"/>
      <c r="J11" s="9"/>
      <c r="K11" s="9"/>
      <c r="Q11" s="388" t="s">
        <v>64</v>
      </c>
      <c r="R11" s="144" t="s">
        <v>41</v>
      </c>
      <c r="S11" s="145">
        <f>E12</f>
        <v>63.633773866354005</v>
      </c>
    </row>
    <row r="12" spans="2:19" s="1" customFormat="1">
      <c r="B12" s="8"/>
      <c r="C12" s="135" t="s">
        <v>66</v>
      </c>
      <c r="D12" s="136">
        <v>3384.1443023626648</v>
      </c>
      <c r="E12" s="137">
        <v>63.633773866354005</v>
      </c>
      <c r="F12" s="138">
        <f>SUM(D12:E12)</f>
        <v>3447.778076229019</v>
      </c>
      <c r="G12" s="361">
        <f>(F12/F$16)</f>
        <v>0.70140886485724541</v>
      </c>
      <c r="H12" s="9"/>
      <c r="I12" s="9"/>
      <c r="J12" s="9"/>
      <c r="K12" s="9"/>
      <c r="Q12" s="388"/>
      <c r="R12" s="144" t="s">
        <v>73</v>
      </c>
      <c r="S12" s="145">
        <f>E13</f>
        <v>163.62970422776741</v>
      </c>
    </row>
    <row r="13" spans="2:19" s="1" customFormat="1">
      <c r="B13" s="8"/>
      <c r="C13" s="135" t="s">
        <v>65</v>
      </c>
      <c r="D13" s="136">
        <v>1071.9749558300475</v>
      </c>
      <c r="E13" s="137">
        <v>163.62970422776741</v>
      </c>
      <c r="F13" s="138">
        <f>SUM(D13:E13)</f>
        <v>1235.604660057815</v>
      </c>
      <c r="G13" s="361">
        <f>(F13/F$16)</f>
        <v>0.25136886506668138</v>
      </c>
      <c r="H13" s="9"/>
      <c r="I13" s="9"/>
      <c r="J13" s="9"/>
      <c r="K13" s="9"/>
      <c r="Q13" s="388" t="s">
        <v>88</v>
      </c>
      <c r="R13" s="144" t="s">
        <v>41</v>
      </c>
      <c r="S13" s="145">
        <f>D12</f>
        <v>3384.1443023626648</v>
      </c>
    </row>
    <row r="14" spans="2:19" s="1" customFormat="1">
      <c r="B14" s="8"/>
      <c r="C14" s="135" t="s">
        <v>67</v>
      </c>
      <c r="D14" s="136">
        <v>159.17320367750006</v>
      </c>
      <c r="E14" s="139"/>
      <c r="F14" s="138">
        <f>SUM(D14:E14)</f>
        <v>159.17320367750006</v>
      </c>
      <c r="G14" s="361">
        <f>(F14/F$16)</f>
        <v>3.2381868449386349E-2</v>
      </c>
      <c r="H14" s="9"/>
      <c r="I14" s="9"/>
      <c r="J14" s="9"/>
      <c r="K14" s="9"/>
      <c r="Q14" s="388"/>
      <c r="R14" s="144" t="s">
        <v>73</v>
      </c>
      <c r="S14" s="145">
        <f>D13</f>
        <v>1071.9749558300475</v>
      </c>
    </row>
    <row r="15" spans="2:19" s="1" customFormat="1" ht="13.5" thickBot="1">
      <c r="B15" s="8"/>
      <c r="C15" s="140" t="s">
        <v>5</v>
      </c>
      <c r="D15" s="141">
        <v>72.948053459999926</v>
      </c>
      <c r="E15" s="142"/>
      <c r="F15" s="143">
        <f>SUM(D15:E15)</f>
        <v>72.948053459999926</v>
      </c>
      <c r="G15" s="362">
        <f>(F15/F$16)+0.0002</f>
        <v>1.5040401626686796E-2</v>
      </c>
      <c r="H15" s="9"/>
      <c r="I15" s="9"/>
      <c r="J15" s="9"/>
      <c r="K15" s="9"/>
      <c r="Q15" s="388"/>
      <c r="R15" s="144" t="s">
        <v>87</v>
      </c>
      <c r="S15" s="145">
        <f>SUM(D14:D15)</f>
        <v>232.12125713749998</v>
      </c>
    </row>
    <row r="16" spans="2:19" s="1" customFormat="1" ht="13.5" thickTop="1">
      <c r="B16" s="8"/>
      <c r="C16" s="237" t="s">
        <v>71</v>
      </c>
      <c r="D16" s="238">
        <f>SUM(D12:D15)</f>
        <v>4688.2405153302125</v>
      </c>
      <c r="E16" s="239">
        <f>SUM(E12:E15)</f>
        <v>227.26347809412141</v>
      </c>
      <c r="F16" s="240">
        <f>SUM(F12:F15)</f>
        <v>4915.5039934243341</v>
      </c>
      <c r="G16" s="241"/>
      <c r="H16" s="9"/>
      <c r="I16" s="9"/>
      <c r="J16" s="9"/>
      <c r="K16" s="9"/>
    </row>
    <row r="17" spans="2:19" s="1" customFormat="1">
      <c r="B17" s="8"/>
      <c r="C17" s="242" t="s">
        <v>107</v>
      </c>
      <c r="D17" s="305">
        <f>D16/F16</f>
        <v>0.95376598647907906</v>
      </c>
      <c r="E17" s="306">
        <f>E16/F16</f>
        <v>4.6234013520920915E-2</v>
      </c>
      <c r="F17" s="243"/>
      <c r="G17" s="244"/>
      <c r="H17" s="9"/>
      <c r="I17" s="9"/>
      <c r="J17" s="9"/>
      <c r="K17" s="9"/>
    </row>
    <row r="18" spans="2:19" s="1" customFormat="1">
      <c r="B18" s="8"/>
      <c r="C18" s="130"/>
      <c r="D18" s="130"/>
      <c r="E18" s="130"/>
      <c r="F18" s="130"/>
      <c r="G18" s="130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121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0"/>
      <c r="D22" s="130"/>
      <c r="E22" s="130"/>
      <c r="F22" s="130"/>
      <c r="G22" s="130"/>
      <c r="H22" s="129"/>
      <c r="I22" s="129"/>
      <c r="J22" s="129"/>
      <c r="K22" s="9"/>
    </row>
    <row r="23" spans="2:19" s="1" customFormat="1" ht="12.75" customHeight="1">
      <c r="B23" s="8"/>
      <c r="C23" s="395" t="s">
        <v>110</v>
      </c>
      <c r="D23" s="396"/>
      <c r="E23" s="389" t="s">
        <v>119</v>
      </c>
      <c r="F23" s="390"/>
      <c r="G23" s="149" t="s">
        <v>74</v>
      </c>
      <c r="H23" s="393" t="s">
        <v>120</v>
      </c>
      <c r="I23" s="394"/>
      <c r="J23" s="149" t="s">
        <v>74</v>
      </c>
      <c r="K23" s="9"/>
      <c r="Q23" s="144"/>
      <c r="R23" s="144">
        <v>2020</v>
      </c>
      <c r="S23" s="144">
        <v>2021</v>
      </c>
    </row>
    <row r="24" spans="2:19" s="1" customFormat="1" ht="12.75" customHeight="1">
      <c r="B24" s="8"/>
      <c r="C24" s="150"/>
      <c r="D24" s="151"/>
      <c r="E24" s="152">
        <v>2020</v>
      </c>
      <c r="F24" s="336">
        <v>2021</v>
      </c>
      <c r="G24" s="153"/>
      <c r="H24" s="225">
        <v>2019</v>
      </c>
      <c r="I24" s="336">
        <v>2020</v>
      </c>
      <c r="J24" s="153"/>
      <c r="K24" s="9"/>
      <c r="Q24" s="144" t="s">
        <v>76</v>
      </c>
      <c r="R24" s="145">
        <f>E29</f>
        <v>225.66483652622875</v>
      </c>
      <c r="S24" s="145">
        <f>F29</f>
        <v>218.32921027042528</v>
      </c>
    </row>
    <row r="25" spans="2:19" s="1" customFormat="1">
      <c r="B25" s="8"/>
      <c r="C25" s="384" t="s">
        <v>0</v>
      </c>
      <c r="D25" s="385"/>
      <c r="E25" s="188">
        <f>SUM(E26:E28)</f>
        <v>4743.8364387800793</v>
      </c>
      <c r="F25" s="337">
        <f>SUM(F26:F28)</f>
        <v>4697.1747831539078</v>
      </c>
      <c r="G25" s="189">
        <f>((F25/E25)-1)</f>
        <v>-9.8362699111461671E-3</v>
      </c>
      <c r="H25" s="226">
        <f>SUM(H26:H28)</f>
        <v>54459.73998755058</v>
      </c>
      <c r="I25" s="337">
        <f>SUM(I26:I28)</f>
        <v>50616.911936468001</v>
      </c>
      <c r="J25" s="189">
        <f>((I25/H25)-1)</f>
        <v>-7.0562732248832694E-2</v>
      </c>
      <c r="K25" s="9"/>
      <c r="Q25" s="144" t="s">
        <v>0</v>
      </c>
      <c r="R25" s="145">
        <f>E25</f>
        <v>4743.8364387800793</v>
      </c>
      <c r="S25" s="145">
        <f>F25</f>
        <v>4697.1747831539078</v>
      </c>
    </row>
    <row r="26" spans="2:19" s="1" customFormat="1">
      <c r="B26" s="8"/>
      <c r="C26" s="257" t="s">
        <v>62</v>
      </c>
      <c r="D26" s="265" t="s">
        <v>102</v>
      </c>
      <c r="E26" s="155">
        <v>4603.8220580625011</v>
      </c>
      <c r="F26" s="338">
        <v>4557.4386049524992</v>
      </c>
      <c r="G26" s="268">
        <f t="shared" ref="G26:G32" si="0">((F26/E26)-1)</f>
        <v>-1.0074988243468752E-2</v>
      </c>
      <c r="H26" s="227">
        <v>52904.330897862485</v>
      </c>
      <c r="I26" s="338">
        <v>49186.639836157505</v>
      </c>
      <c r="J26" s="156">
        <f t="shared" ref="J26:J32" si="1">((I26/H26)-1)</f>
        <v>-7.0271960699822111E-2</v>
      </c>
      <c r="K26" s="9"/>
    </row>
    <row r="27" spans="2:19" s="1" customFormat="1">
      <c r="B27" s="8"/>
      <c r="C27" s="258" t="s">
        <v>104</v>
      </c>
      <c r="D27" s="266" t="s">
        <v>77</v>
      </c>
      <c r="E27" s="260">
        <v>88.016990991799986</v>
      </c>
      <c r="F27" s="339">
        <v>86.329260849290534</v>
      </c>
      <c r="G27" s="269">
        <f t="shared" si="0"/>
        <v>-1.9175049311407233E-2</v>
      </c>
      <c r="H27" s="261">
        <v>1024.5310995507436</v>
      </c>
      <c r="I27" s="339">
        <v>953.77474763304747</v>
      </c>
      <c r="J27" s="269">
        <f t="shared" si="1"/>
        <v>-6.906218068804626E-2</v>
      </c>
      <c r="K27" s="9"/>
    </row>
    <row r="28" spans="2:19" s="1" customFormat="1">
      <c r="B28" s="8"/>
      <c r="C28" s="259" t="s">
        <v>64</v>
      </c>
      <c r="D28" s="267" t="s">
        <v>77</v>
      </c>
      <c r="E28" s="155">
        <v>51.997389725777651</v>
      </c>
      <c r="F28" s="338">
        <v>53.406917352118526</v>
      </c>
      <c r="G28" s="268">
        <f t="shared" si="0"/>
        <v>2.7107661245581838E-2</v>
      </c>
      <c r="H28" s="227">
        <v>530.87799013735162</v>
      </c>
      <c r="I28" s="338">
        <v>476.49735267744614</v>
      </c>
      <c r="J28" s="268">
        <f t="shared" si="1"/>
        <v>-0.10243528356833143</v>
      </c>
      <c r="K28" s="9"/>
    </row>
    <row r="29" spans="2:19" s="1" customFormat="1">
      <c r="B29" s="8"/>
      <c r="C29" s="384" t="s">
        <v>76</v>
      </c>
      <c r="D29" s="385"/>
      <c r="E29" s="188">
        <f>SUM(E30:E31)</f>
        <v>225.66483652622875</v>
      </c>
      <c r="F29" s="337">
        <f>SUM(F30:F31)</f>
        <v>218.32921027042528</v>
      </c>
      <c r="G29" s="189">
        <f t="shared" si="0"/>
        <v>-3.2506731525940968E-2</v>
      </c>
      <c r="H29" s="226">
        <f>SUM(H30:H31)</f>
        <v>2508.7641318212254</v>
      </c>
      <c r="I29" s="337">
        <f>SUM(I30:I31)</f>
        <v>2086.2897623715126</v>
      </c>
      <c r="J29" s="189">
        <f t="shared" si="1"/>
        <v>-0.1683993979709123</v>
      </c>
      <c r="K29" s="9"/>
      <c r="Q29" s="144"/>
      <c r="R29" s="144"/>
      <c r="S29" s="144"/>
    </row>
    <row r="30" spans="2:19" s="1" customFormat="1">
      <c r="B30" s="8"/>
      <c r="C30" s="262" t="s">
        <v>68</v>
      </c>
      <c r="D30" s="151"/>
      <c r="E30" s="155">
        <v>43.437221780000009</v>
      </c>
      <c r="F30" s="338">
        <v>44.472649528422394</v>
      </c>
      <c r="G30" s="268">
        <f t="shared" si="0"/>
        <v>2.3837338254886653E-2</v>
      </c>
      <c r="H30" s="227">
        <v>519.72995788556261</v>
      </c>
      <c r="I30" s="338">
        <v>479.3936943074022</v>
      </c>
      <c r="J30" s="268">
        <f t="shared" si="1"/>
        <v>-7.7610041457417567E-2</v>
      </c>
      <c r="K30" s="9"/>
    </row>
    <row r="31" spans="2:19" s="1" customFormat="1" ht="13.5" thickBot="1">
      <c r="B31" s="8"/>
      <c r="C31" s="263" t="s">
        <v>64</v>
      </c>
      <c r="D31" s="264"/>
      <c r="E31" s="158">
        <v>182.22761474622874</v>
      </c>
      <c r="F31" s="313">
        <v>173.8565607420029</v>
      </c>
      <c r="G31" s="159">
        <f t="shared" si="0"/>
        <v>-4.5937351569263596E-2</v>
      </c>
      <c r="H31" s="228">
        <v>1989.0341739356629</v>
      </c>
      <c r="I31" s="313">
        <v>1606.8960680641103</v>
      </c>
      <c r="J31" s="289">
        <f t="shared" si="1"/>
        <v>-0.19212244358548325</v>
      </c>
      <c r="K31" s="9"/>
    </row>
    <row r="32" spans="2:19" s="1" customFormat="1" ht="14.25" thickTop="1" thickBot="1">
      <c r="B32" s="8"/>
      <c r="C32" s="379" t="s">
        <v>106</v>
      </c>
      <c r="D32" s="380"/>
      <c r="E32" s="190">
        <f>SUM(E25,E29)</f>
        <v>4969.5012753063083</v>
      </c>
      <c r="F32" s="340">
        <f>SUM(F25,F29)</f>
        <v>4915.5039934243332</v>
      </c>
      <c r="G32" s="191">
        <f t="shared" si="0"/>
        <v>-1.0865734585941311E-2</v>
      </c>
      <c r="H32" s="229">
        <f>SUM(H25,H29)</f>
        <v>56968.504119371806</v>
      </c>
      <c r="I32" s="340">
        <f>SUM(I25,I29)</f>
        <v>52703.201698839512</v>
      </c>
      <c r="J32" s="191">
        <f t="shared" si="1"/>
        <v>-7.4871237826339643E-2</v>
      </c>
      <c r="K32" s="9"/>
    </row>
    <row r="33" spans="2:19" s="1" customFormat="1">
      <c r="B33" s="8"/>
      <c r="C33" s="300" t="s">
        <v>103</v>
      </c>
      <c r="D33" s="160"/>
      <c r="E33" s="160"/>
      <c r="F33" s="161"/>
      <c r="G33" s="129"/>
      <c r="H33" s="160"/>
      <c r="I33" s="160"/>
      <c r="J33" s="129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122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7"/>
      <c r="D38" s="148"/>
      <c r="E38" s="389" t="s">
        <v>119</v>
      </c>
      <c r="F38" s="390"/>
      <c r="G38" s="391" t="s">
        <v>74</v>
      </c>
      <c r="H38" s="393" t="s">
        <v>120</v>
      </c>
      <c r="I38" s="394"/>
      <c r="J38" s="391" t="s">
        <v>74</v>
      </c>
      <c r="K38" s="9"/>
      <c r="Q38" s="144"/>
      <c r="R38" s="144">
        <v>2020</v>
      </c>
      <c r="S38" s="144">
        <v>2021</v>
      </c>
    </row>
    <row r="39" spans="2:19" s="1" customFormat="1" ht="12.75" customHeight="1">
      <c r="B39" s="8"/>
      <c r="C39" s="150" t="s">
        <v>75</v>
      </c>
      <c r="D39" s="151"/>
      <c r="E39" s="152">
        <v>2020</v>
      </c>
      <c r="F39" s="336">
        <v>2021</v>
      </c>
      <c r="G39" s="392"/>
      <c r="H39" s="230">
        <v>2019</v>
      </c>
      <c r="I39" s="341">
        <v>2020</v>
      </c>
      <c r="J39" s="392"/>
      <c r="K39" s="9"/>
      <c r="Q39" s="144" t="s">
        <v>66</v>
      </c>
      <c r="R39" s="145">
        <f>SUM(E41,E46)</f>
        <v>3344.8288529493011</v>
      </c>
      <c r="S39" s="145">
        <f>SUM(F41,F46)</f>
        <v>3447.778076229019</v>
      </c>
    </row>
    <row r="40" spans="2:19" s="1" customFormat="1">
      <c r="B40" s="8"/>
      <c r="C40" s="384" t="s">
        <v>68</v>
      </c>
      <c r="D40" s="385"/>
      <c r="E40" s="188">
        <f>SUM(E41:E44)</f>
        <v>4735.2762708343016</v>
      </c>
      <c r="F40" s="337">
        <f>SUM(F41:F44)</f>
        <v>4688.2405153302125</v>
      </c>
      <c r="G40" s="189">
        <f>((F40/E40)-1)</f>
        <v>-9.9330541269141426E-3</v>
      </c>
      <c r="H40" s="226">
        <f>SUM(H41:H44)</f>
        <v>54448.591955298798</v>
      </c>
      <c r="I40" s="337">
        <f>SUM(I41:I44)</f>
        <v>50619.808278097946</v>
      </c>
      <c r="J40" s="189">
        <f>((I40/H40)-1)</f>
        <v>-7.0319241319301784E-2</v>
      </c>
      <c r="K40" s="9"/>
      <c r="Q40" s="144" t="s">
        <v>65</v>
      </c>
      <c r="R40" s="145">
        <f>SUM(E42,E47)</f>
        <v>1454.0593928245064</v>
      </c>
      <c r="S40" s="145">
        <f>SUM(F42,F47)</f>
        <v>1235.604660057815</v>
      </c>
    </row>
    <row r="41" spans="2:19" s="1" customFormat="1">
      <c r="B41" s="8"/>
      <c r="C41" s="154" t="s">
        <v>66</v>
      </c>
      <c r="D41" s="130"/>
      <c r="E41" s="155">
        <v>3279.023745949301</v>
      </c>
      <c r="F41" s="338">
        <f>D12</f>
        <v>3384.1443023626648</v>
      </c>
      <c r="G41" s="268">
        <f t="shared" ref="G41:G48" si="2">((F41/E41)-1)</f>
        <v>3.2058491965245128E-2</v>
      </c>
      <c r="H41" s="227">
        <v>30769.211317901299</v>
      </c>
      <c r="I41" s="338">
        <v>29897.641977405347</v>
      </c>
      <c r="J41" s="268">
        <f t="shared" ref="J41:J48" si="3">((I41/H41)-1)</f>
        <v>-2.8326021472928731E-2</v>
      </c>
      <c r="K41" s="9"/>
      <c r="Q41" s="144" t="s">
        <v>67</v>
      </c>
      <c r="R41" s="145">
        <f>E43</f>
        <v>112.89675227750001</v>
      </c>
      <c r="S41" s="145">
        <f>F43</f>
        <v>159.17320367750006</v>
      </c>
    </row>
    <row r="42" spans="2:19" s="1" customFormat="1">
      <c r="B42" s="8"/>
      <c r="C42" s="154" t="s">
        <v>65</v>
      </c>
      <c r="D42" s="130"/>
      <c r="E42" s="155">
        <v>1285.6394953525</v>
      </c>
      <c r="F42" s="338">
        <f>D13</f>
        <v>1071.9749558300475</v>
      </c>
      <c r="G42" s="268">
        <f t="shared" si="2"/>
        <v>-0.16619319824479206</v>
      </c>
      <c r="H42" s="227">
        <v>21261.283018397498</v>
      </c>
      <c r="I42" s="338">
        <v>18139.805685280098</v>
      </c>
      <c r="J42" s="268">
        <f t="shared" si="3"/>
        <v>-0.14681509720821506</v>
      </c>
      <c r="K42" s="9"/>
      <c r="Q42" s="144" t="s">
        <v>5</v>
      </c>
      <c r="R42" s="145">
        <f>E44</f>
        <v>57.716277254999994</v>
      </c>
      <c r="S42" s="145">
        <f>F44</f>
        <v>72.948053459999926</v>
      </c>
    </row>
    <row r="43" spans="2:19" s="1" customFormat="1">
      <c r="B43" s="8"/>
      <c r="C43" s="154" t="s">
        <v>67</v>
      </c>
      <c r="D43" s="130"/>
      <c r="E43" s="155">
        <v>112.89675227750001</v>
      </c>
      <c r="F43" s="338">
        <f>D14</f>
        <v>159.17320367750006</v>
      </c>
      <c r="G43" s="268">
        <f t="shared" si="2"/>
        <v>0.40990064343261712</v>
      </c>
      <c r="H43" s="227">
        <v>1655.0389920000002</v>
      </c>
      <c r="I43" s="338">
        <v>1804.4223259149999</v>
      </c>
      <c r="J43" s="268">
        <f t="shared" si="3"/>
        <v>9.0259706651672378E-2</v>
      </c>
      <c r="K43" s="9"/>
    </row>
    <row r="44" spans="2:19" s="1" customFormat="1">
      <c r="B44" s="8"/>
      <c r="C44" s="154" t="s">
        <v>5</v>
      </c>
      <c r="D44" s="130"/>
      <c r="E44" s="155">
        <v>57.716277254999994</v>
      </c>
      <c r="F44" s="338">
        <f>D15</f>
        <v>72.948053459999926</v>
      </c>
      <c r="G44" s="93">
        <f t="shared" si="2"/>
        <v>0.26390780780443346</v>
      </c>
      <c r="H44" s="227">
        <v>763.058627</v>
      </c>
      <c r="I44" s="338">
        <v>777.93828949750014</v>
      </c>
      <c r="J44" s="156">
        <f t="shared" si="3"/>
        <v>1.9500025254940434E-2</v>
      </c>
      <c r="K44" s="9"/>
      <c r="Q44" s="144"/>
      <c r="R44" s="144"/>
      <c r="S44" s="144"/>
    </row>
    <row r="45" spans="2:19" s="1" customFormat="1">
      <c r="B45" s="8"/>
      <c r="C45" s="384" t="s">
        <v>64</v>
      </c>
      <c r="D45" s="385"/>
      <c r="E45" s="188">
        <f>SUM(E46:E47)</f>
        <v>234.22500447200642</v>
      </c>
      <c r="F45" s="337">
        <f>SUM(F46:F47)</f>
        <v>227.26347809412141</v>
      </c>
      <c r="G45" s="189">
        <f t="shared" si="2"/>
        <v>-2.9721533760145635E-2</v>
      </c>
      <c r="H45" s="226">
        <f>SUM(H46:H47)</f>
        <v>2519.912164073015</v>
      </c>
      <c r="I45" s="337">
        <f>SUM(I46:I47)</f>
        <v>2083.3934207415559</v>
      </c>
      <c r="J45" s="189">
        <f t="shared" si="3"/>
        <v>-0.17322776148907504</v>
      </c>
      <c r="K45" s="9"/>
    </row>
    <row r="46" spans="2:19" s="1" customFormat="1">
      <c r="B46" s="8"/>
      <c r="C46" s="154" t="s">
        <v>66</v>
      </c>
      <c r="D46" s="130"/>
      <c r="E46" s="155">
        <v>65.805106999999992</v>
      </c>
      <c r="F46" s="338">
        <f>E12</f>
        <v>63.633773866354005</v>
      </c>
      <c r="G46" s="156">
        <f t="shared" si="2"/>
        <v>-3.2996422810253723E-2</v>
      </c>
      <c r="H46" s="227">
        <v>692.8770668815547</v>
      </c>
      <c r="I46" s="338">
        <v>614.64082558230007</v>
      </c>
      <c r="J46" s="156">
        <f t="shared" si="3"/>
        <v>-0.11291503938985026</v>
      </c>
      <c r="K46" s="9"/>
    </row>
    <row r="47" spans="2:19" s="1" customFormat="1" ht="13.5" thickBot="1">
      <c r="B47" s="8"/>
      <c r="C47" s="157" t="s">
        <v>65</v>
      </c>
      <c r="D47" s="130"/>
      <c r="E47" s="158">
        <v>168.41989747200643</v>
      </c>
      <c r="F47" s="313">
        <f>E13</f>
        <v>163.62970422776741</v>
      </c>
      <c r="G47" s="289">
        <f t="shared" si="2"/>
        <v>-2.8441967464296836E-2</v>
      </c>
      <c r="H47" s="228">
        <v>1827.0350971914602</v>
      </c>
      <c r="I47" s="313">
        <v>1468.7525951592559</v>
      </c>
      <c r="J47" s="159">
        <f t="shared" si="3"/>
        <v>-0.19610050325960371</v>
      </c>
      <c r="K47" s="9"/>
    </row>
    <row r="48" spans="2:19" s="1" customFormat="1" ht="14.25" thickTop="1" thickBot="1">
      <c r="B48" s="8"/>
      <c r="C48" s="379" t="s">
        <v>106</v>
      </c>
      <c r="D48" s="380"/>
      <c r="E48" s="190">
        <f>SUM(E40,E45)</f>
        <v>4969.5012753063083</v>
      </c>
      <c r="F48" s="340">
        <f>SUM(F40,F45)</f>
        <v>4915.5039934243341</v>
      </c>
      <c r="G48" s="191">
        <f t="shared" si="2"/>
        <v>-1.0865734585941089E-2</v>
      </c>
      <c r="H48" s="229">
        <f>SUM(H40,H45)</f>
        <v>56968.504119371813</v>
      </c>
      <c r="I48" s="340">
        <f>SUM(I40,I45)</f>
        <v>52703.201698839504</v>
      </c>
      <c r="J48" s="191">
        <f t="shared" si="3"/>
        <v>-7.4871237826339865E-2</v>
      </c>
      <c r="K48" s="9"/>
    </row>
    <row r="49" spans="2:23" s="1" customFormat="1">
      <c r="B49" s="8"/>
      <c r="C49" s="255"/>
      <c r="D49" s="90"/>
      <c r="E49" s="91"/>
      <c r="F49" s="91"/>
      <c r="G49" s="94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4"/>
      <c r="H50" s="9"/>
      <c r="I50" s="9"/>
      <c r="J50" s="9"/>
      <c r="K50" s="9"/>
    </row>
    <row r="51" spans="2:23" s="1" customFormat="1">
      <c r="B51" s="8"/>
      <c r="C51" s="10" t="s">
        <v>123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0"/>
    </row>
    <row r="53" spans="2:23" s="1" customFormat="1" ht="13.5" thickBot="1">
      <c r="B53" s="8"/>
      <c r="C53" s="10"/>
      <c r="H53" s="9"/>
      <c r="I53" s="9"/>
      <c r="J53" s="9"/>
      <c r="K53" s="9"/>
      <c r="L53" s="250"/>
      <c r="M53" s="250"/>
    </row>
    <row r="54" spans="2:23" s="1" customFormat="1" ht="12.75" customHeight="1">
      <c r="B54" s="8"/>
      <c r="C54" s="147"/>
      <c r="D54" s="148"/>
      <c r="E54" s="389" t="s">
        <v>119</v>
      </c>
      <c r="F54" s="390"/>
      <c r="G54" s="391" t="s">
        <v>74</v>
      </c>
      <c r="H54" s="393" t="s">
        <v>120</v>
      </c>
      <c r="I54" s="394"/>
      <c r="J54" s="391" t="s">
        <v>74</v>
      </c>
      <c r="K54" s="9"/>
      <c r="L54" s="250"/>
      <c r="M54" s="250"/>
    </row>
    <row r="55" spans="2:23" s="1" customFormat="1" ht="12.75" customHeight="1">
      <c r="B55" s="8"/>
      <c r="C55" s="150" t="s">
        <v>75</v>
      </c>
      <c r="D55" s="151"/>
      <c r="E55" s="152">
        <v>2020</v>
      </c>
      <c r="F55" s="336">
        <v>2021</v>
      </c>
      <c r="G55" s="392"/>
      <c r="H55" s="230">
        <v>2019</v>
      </c>
      <c r="I55" s="341">
        <v>2020</v>
      </c>
      <c r="J55" s="392"/>
      <c r="K55" s="9"/>
      <c r="L55" s="250"/>
      <c r="M55" s="250"/>
    </row>
    <row r="56" spans="2:23" s="1" customFormat="1">
      <c r="B56" s="8"/>
      <c r="C56" s="384" t="s">
        <v>68</v>
      </c>
      <c r="D56" s="385"/>
      <c r="E56" s="188">
        <f>SUM(E57:E60)</f>
        <v>4735.2762708343016</v>
      </c>
      <c r="F56" s="337">
        <f>SUM(F57:F60)</f>
        <v>4688.2405153302125</v>
      </c>
      <c r="G56" s="189">
        <f>((F56/E56)-1)</f>
        <v>-9.9330541269141426E-3</v>
      </c>
      <c r="H56" s="226">
        <f>SUM(H57:H60)</f>
        <v>54448.591955298791</v>
      </c>
      <c r="I56" s="337">
        <f>SUM(I57:I60)</f>
        <v>50619.808278097946</v>
      </c>
      <c r="J56" s="189">
        <f>((I56/H56)-1)</f>
        <v>-7.0319241319301673E-2</v>
      </c>
      <c r="K56" s="9"/>
    </row>
    <row r="57" spans="2:23" s="1" customFormat="1" ht="25.5">
      <c r="B57" s="8"/>
      <c r="C57" s="382" t="s">
        <v>78</v>
      </c>
      <c r="D57" s="270" t="s">
        <v>79</v>
      </c>
      <c r="E57" s="367">
        <f>SUM(E43:E44)+24.0343697425</f>
        <v>194.647399275</v>
      </c>
      <c r="F57" s="368">
        <f>SUM(F43:F44)+19.8315366828559</f>
        <v>251.95279382035588</v>
      </c>
      <c r="G57" s="166">
        <f t="shared" ref="G57:G65" si="4">((F57/E57)-1)</f>
        <v>0.29440616601506298</v>
      </c>
      <c r="H57" s="371">
        <f>SUM(H43:H44)+311.434998</f>
        <v>2729.5326170000003</v>
      </c>
      <c r="I57" s="368">
        <f>SUM(I43:I44)+304.4366829225</f>
        <v>2886.7972983350001</v>
      </c>
      <c r="J57" s="166">
        <f t="shared" ref="J57:J65" si="5">((I57/H57)-1)</f>
        <v>5.7615974381668211E-2</v>
      </c>
      <c r="K57" s="9"/>
      <c r="L57" s="250"/>
      <c r="Q57" s="144"/>
      <c r="R57" s="144"/>
      <c r="T57" s="144">
        <v>2019</v>
      </c>
      <c r="U57" s="144">
        <v>2020</v>
      </c>
      <c r="V57" s="144"/>
      <c r="W57" s="144"/>
    </row>
    <row r="58" spans="2:23" s="1" customFormat="1" ht="13.5">
      <c r="B58" s="8"/>
      <c r="C58" s="383"/>
      <c r="D58" s="271" t="s">
        <v>108</v>
      </c>
      <c r="E58" s="369">
        <v>231.14771608749987</v>
      </c>
      <c r="F58" s="370">
        <v>253.52640172750009</v>
      </c>
      <c r="G58" s="269">
        <f t="shared" si="4"/>
        <v>9.6815517015659713E-2</v>
      </c>
      <c r="H58" s="372">
        <v>1845.1128347399997</v>
      </c>
      <c r="I58" s="370">
        <v>2085.0540282825004</v>
      </c>
      <c r="J58" s="269">
        <f t="shared" si="5"/>
        <v>0.13004147444257064</v>
      </c>
      <c r="K58" s="9"/>
      <c r="L58" s="250"/>
      <c r="M58" s="250"/>
      <c r="Q58" s="388" t="s">
        <v>80</v>
      </c>
      <c r="R58" s="144" t="s">
        <v>66</v>
      </c>
      <c r="T58" s="145">
        <f>SUM(E60,E64)</f>
        <v>3113.6811368618014</v>
      </c>
      <c r="U58" s="145">
        <f>SUM(F60,F64)</f>
        <v>3194.2516745015191</v>
      </c>
      <c r="V58" s="146">
        <f t="shared" ref="V58:W61" si="6">T58/T$64</f>
        <v>0.62655807179964584</v>
      </c>
      <c r="W58" s="146">
        <f t="shared" si="6"/>
        <v>0.649831976288616</v>
      </c>
    </row>
    <row r="59" spans="2:23" s="1" customFormat="1">
      <c r="B59" s="8"/>
      <c r="C59" s="381" t="s">
        <v>80</v>
      </c>
      <c r="D59" s="272" t="s">
        <v>81</v>
      </c>
      <c r="E59" s="155">
        <f>SUM(E42:E44)-E57</f>
        <v>1261.6051256100002</v>
      </c>
      <c r="F59" s="338">
        <f>SUM(F42:F44)-F57</f>
        <v>1052.1434191471915</v>
      </c>
      <c r="G59" s="268">
        <f t="shared" si="4"/>
        <v>-0.16602794504463636</v>
      </c>
      <c r="H59" s="227">
        <f>SUM(H42:H44)-H57</f>
        <v>20949.848020397498</v>
      </c>
      <c r="I59" s="338">
        <f>SUM(I42:I44)-I57</f>
        <v>17835.369002357595</v>
      </c>
      <c r="J59" s="268">
        <f t="shared" si="5"/>
        <v>-0.14866356142572201</v>
      </c>
      <c r="K59" s="9"/>
      <c r="Q59" s="388"/>
      <c r="R59" s="144" t="s">
        <v>65</v>
      </c>
      <c r="T59" s="145">
        <f>SUM(E59,E63)</f>
        <v>1410.3527922820067</v>
      </c>
      <c r="U59" s="145">
        <f>SUM(F59,F63)</f>
        <v>1196.1375588676269</v>
      </c>
      <c r="V59" s="146">
        <f t="shared" si="6"/>
        <v>0.28380167629498715</v>
      </c>
      <c r="W59" s="146">
        <f t="shared" si="6"/>
        <v>0.24333975935483887</v>
      </c>
    </row>
    <row r="60" spans="2:23" s="1" customFormat="1">
      <c r="B60" s="8"/>
      <c r="C60" s="381"/>
      <c r="D60" s="273" t="s">
        <v>41</v>
      </c>
      <c r="E60" s="155">
        <f>E41-E58</f>
        <v>3047.8760298618013</v>
      </c>
      <c r="F60" s="338">
        <f>F41-F58</f>
        <v>3130.6179006351649</v>
      </c>
      <c r="G60" s="268">
        <f t="shared" si="4"/>
        <v>2.7147387217424157E-2</v>
      </c>
      <c r="H60" s="227">
        <f>H41-H58</f>
        <v>28924.098483161299</v>
      </c>
      <c r="I60" s="338">
        <f>I41-I58</f>
        <v>27812.587949122848</v>
      </c>
      <c r="J60" s="268">
        <f t="shared" si="5"/>
        <v>-3.8428528193732214E-2</v>
      </c>
      <c r="K60" s="9"/>
      <c r="Q60" s="388" t="s">
        <v>78</v>
      </c>
      <c r="R60" s="144" t="s">
        <v>66</v>
      </c>
      <c r="T60" s="145">
        <f>E58</f>
        <v>231.14771608749987</v>
      </c>
      <c r="U60" s="145">
        <f>F58</f>
        <v>253.52640172750009</v>
      </c>
      <c r="V60" s="146">
        <f t="shared" si="6"/>
        <v>4.6513262253515063E-2</v>
      </c>
      <c r="W60" s="146">
        <f t="shared" si="6"/>
        <v>5.1576888568629478E-2</v>
      </c>
    </row>
    <row r="61" spans="2:23" s="1" customFormat="1">
      <c r="B61" s="8"/>
      <c r="C61" s="384" t="s">
        <v>64</v>
      </c>
      <c r="D61" s="385"/>
      <c r="E61" s="188">
        <f>SUM(E62:E64)</f>
        <v>234.22500447200642</v>
      </c>
      <c r="F61" s="337">
        <f>SUM(F62:F64)</f>
        <v>227.26347809412141</v>
      </c>
      <c r="G61" s="189">
        <f t="shared" si="4"/>
        <v>-2.9721533760145635E-2</v>
      </c>
      <c r="H61" s="226">
        <f>SUM(H62:H64)</f>
        <v>2519.912164073015</v>
      </c>
      <c r="I61" s="337">
        <f>SUM(I62:I64)</f>
        <v>2083.3934207415559</v>
      </c>
      <c r="J61" s="189">
        <f t="shared" si="5"/>
        <v>-0.17322776148907504</v>
      </c>
      <c r="K61" s="9"/>
      <c r="Q61" s="388"/>
      <c r="R61" s="144" t="s">
        <v>89</v>
      </c>
      <c r="T61" s="145">
        <f>E57+E62</f>
        <v>214.31963007499999</v>
      </c>
      <c r="U61" s="145">
        <f>F57+F62</f>
        <v>271.58835832768796</v>
      </c>
      <c r="V61" s="146">
        <f t="shared" si="6"/>
        <v>4.3126989651851903E-2</v>
      </c>
      <c r="W61" s="146">
        <f t="shared" si="6"/>
        <v>5.5251375787915655E-2</v>
      </c>
    </row>
    <row r="62" spans="2:23" s="1" customFormat="1">
      <c r="B62" s="8"/>
      <c r="C62" s="301" t="s">
        <v>78</v>
      </c>
      <c r="D62" s="302" t="s">
        <v>112</v>
      </c>
      <c r="E62" s="373">
        <v>19.672230800000001</v>
      </c>
      <c r="F62" s="374">
        <v>19.635564507332088</v>
      </c>
      <c r="G62" s="376">
        <f t="shared" si="4"/>
        <v>-1.863860435589948E-3</v>
      </c>
      <c r="H62" s="375">
        <v>231.72829747</v>
      </c>
      <c r="I62" s="374">
        <v>230.2254848</v>
      </c>
      <c r="J62" s="303">
        <f t="shared" si="5"/>
        <v>-6.4852358836087198E-3</v>
      </c>
      <c r="K62" s="9"/>
      <c r="Q62" s="144"/>
      <c r="R62" s="144"/>
      <c r="T62" s="144"/>
      <c r="U62" s="144"/>
      <c r="V62" s="144"/>
      <c r="W62" s="144"/>
    </row>
    <row r="63" spans="2:23" s="1" customFormat="1">
      <c r="B63" s="8"/>
      <c r="C63" s="386" t="s">
        <v>80</v>
      </c>
      <c r="D63" s="272" t="s">
        <v>81</v>
      </c>
      <c r="E63" s="155">
        <f>E47-E62</f>
        <v>148.74766667200643</v>
      </c>
      <c r="F63" s="338">
        <f>F47-F62</f>
        <v>143.99413972043533</v>
      </c>
      <c r="G63" s="268">
        <f t="shared" ref="G63" si="7">((F63/E63)-1)</f>
        <v>-3.195698499293298E-2</v>
      </c>
      <c r="H63" s="227">
        <f>H47-H62</f>
        <v>1595.3067997214603</v>
      </c>
      <c r="I63" s="338">
        <f>I47-I62</f>
        <v>1238.5271103592559</v>
      </c>
      <c r="J63" s="268">
        <f t="shared" ref="J63" si="8">((I63/H63)-1)</f>
        <v>-0.22364330762239459</v>
      </c>
      <c r="K63" s="9"/>
      <c r="Q63" s="144"/>
      <c r="R63" s="144"/>
      <c r="T63" s="144"/>
      <c r="U63" s="144"/>
      <c r="V63" s="144"/>
      <c r="W63" s="144"/>
    </row>
    <row r="64" spans="2:23" s="1" customFormat="1" ht="13.5" thickBot="1">
      <c r="B64" s="8"/>
      <c r="C64" s="387"/>
      <c r="D64" s="274" t="s">
        <v>41</v>
      </c>
      <c r="E64" s="357">
        <f>E46</f>
        <v>65.805106999999992</v>
      </c>
      <c r="F64" s="358">
        <f>F46</f>
        <v>63.633773866354005</v>
      </c>
      <c r="G64" s="289">
        <f t="shared" si="4"/>
        <v>-3.2996422810253723E-2</v>
      </c>
      <c r="H64" s="228">
        <f>H46</f>
        <v>692.8770668815547</v>
      </c>
      <c r="I64" s="313">
        <f>I46</f>
        <v>614.64082558230007</v>
      </c>
      <c r="J64" s="159">
        <f t="shared" si="5"/>
        <v>-0.11291503938985026</v>
      </c>
      <c r="K64" s="9"/>
      <c r="Q64" s="144"/>
      <c r="R64" s="144"/>
      <c r="T64" s="145">
        <f>SUM(T58:T61)</f>
        <v>4969.5012753063083</v>
      </c>
      <c r="U64" s="145">
        <f>SUM(U58:U61)</f>
        <v>4915.5039934243341</v>
      </c>
      <c r="V64" s="144"/>
      <c r="W64" s="144"/>
    </row>
    <row r="65" spans="2:22" s="1" customFormat="1" ht="14.25" thickTop="1" thickBot="1">
      <c r="B65" s="8"/>
      <c r="C65" s="379" t="s">
        <v>106</v>
      </c>
      <c r="D65" s="380"/>
      <c r="E65" s="190">
        <f>SUM(E56,E61)</f>
        <v>4969.5012753063083</v>
      </c>
      <c r="F65" s="340">
        <f>SUM(F56,F61)</f>
        <v>4915.5039934243341</v>
      </c>
      <c r="G65" s="191">
        <f t="shared" si="4"/>
        <v>-1.0865734585941089E-2</v>
      </c>
      <c r="H65" s="229">
        <f>SUM(H56,H61)</f>
        <v>56968.504119371806</v>
      </c>
      <c r="I65" s="340">
        <f>SUM(I56,I61)</f>
        <v>52703.201698839504</v>
      </c>
      <c r="J65" s="191">
        <f t="shared" si="5"/>
        <v>-7.4871237826339754E-2</v>
      </c>
      <c r="K65" s="9"/>
      <c r="Q65" s="144"/>
      <c r="R65" s="144"/>
      <c r="S65" s="144"/>
      <c r="T65" s="144"/>
      <c r="U65" s="144"/>
      <c r="V65" s="144"/>
    </row>
    <row r="66" spans="2:22" s="1" customFormat="1">
      <c r="B66" s="8"/>
      <c r="C66" s="255" t="s">
        <v>109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4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B70" zoomScaleNormal="100" zoomScaleSheetLayoutView="100" workbookViewId="0">
      <selection activeCell="C26" sqref="C26:I35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115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3447.778076229019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1114.5154033721492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81.294896087020788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39.467101190187975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159.17320367750006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72.948053459999926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75">
        <f t="shared" si="0"/>
        <v>0.32725940845553486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4915.5039934243332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07"/>
      <c r="G23" s="254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124</v>
      </c>
      <c r="D24" s="9"/>
      <c r="E24" s="13"/>
      <c r="F24" s="13"/>
      <c r="G24" s="13"/>
      <c r="H24" s="26"/>
      <c r="I24" s="26"/>
      <c r="J24" s="290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29"/>
      <c r="D25" s="129"/>
      <c r="E25" s="162"/>
      <c r="F25" s="162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1" t="s">
        <v>61</v>
      </c>
      <c r="D26" s="404" t="s">
        <v>119</v>
      </c>
      <c r="E26" s="405"/>
      <c r="F26" s="399" t="s">
        <v>74</v>
      </c>
      <c r="G26" s="397" t="s">
        <v>120</v>
      </c>
      <c r="H26" s="398"/>
      <c r="I26" s="399" t="s">
        <v>74</v>
      </c>
      <c r="J26" s="20"/>
      <c r="K26" s="54"/>
      <c r="L26" s="54"/>
      <c r="M26" s="55"/>
      <c r="N26" s="70">
        <v>2020</v>
      </c>
      <c r="O26" s="70">
        <v>2021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2"/>
      <c r="D27" s="95">
        <v>2020</v>
      </c>
      <c r="E27" s="96">
        <v>2021</v>
      </c>
      <c r="F27" s="400"/>
      <c r="G27" s="231">
        <v>2019</v>
      </c>
      <c r="H27" s="96">
        <v>2020</v>
      </c>
      <c r="I27" s="400"/>
      <c r="J27" s="20"/>
      <c r="K27" s="54"/>
      <c r="L27" s="54"/>
      <c r="M27" s="55" t="s">
        <v>85</v>
      </c>
      <c r="N27" s="70">
        <f t="shared" ref="N27:O29" si="1">D28</f>
        <v>3344.8288529493011</v>
      </c>
      <c r="O27" s="70">
        <f t="shared" si="1"/>
        <v>3447.778076229019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3" t="s">
        <v>85</v>
      </c>
      <c r="D28" s="164">
        <f>'Resumen (G)'!E41+'Resumen (G)'!E46</f>
        <v>3344.8288529493011</v>
      </c>
      <c r="E28" s="165">
        <f>'Resumen (G)'!F41+'Resumen (G)'!F46</f>
        <v>3447.778076229019</v>
      </c>
      <c r="F28" s="166">
        <f>+E28/D28-1</f>
        <v>3.0778622107658027E-2</v>
      </c>
      <c r="G28" s="245">
        <f>'Resumen (G)'!H41+'Resumen (G)'!H46</f>
        <v>31462.088384782855</v>
      </c>
      <c r="H28" s="165">
        <f>'Resumen (G)'!I41+'Resumen (G)'!I46</f>
        <v>30512.282802987647</v>
      </c>
      <c r="I28" s="166">
        <f>+H28/G28-1</f>
        <v>-3.0188891791893768E-2</v>
      </c>
      <c r="J28" s="290"/>
      <c r="K28" s="54"/>
      <c r="L28" s="54"/>
      <c r="M28" s="55" t="s">
        <v>2</v>
      </c>
      <c r="N28" s="70">
        <f t="shared" si="1"/>
        <v>1295.3892635875002</v>
      </c>
      <c r="O28" s="70">
        <f t="shared" si="1"/>
        <v>1114.5154033721492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7" t="s">
        <v>2</v>
      </c>
      <c r="D29" s="168">
        <v>1295.3892635875002</v>
      </c>
      <c r="E29" s="169">
        <v>1114.5154033721492</v>
      </c>
      <c r="F29" s="170">
        <f t="shared" ref="F29:F35" si="2">+E29/D29-1</f>
        <v>-0.13962896350895482</v>
      </c>
      <c r="G29" s="246">
        <v>21031.7012323975</v>
      </c>
      <c r="H29" s="169">
        <v>17988.935675300283</v>
      </c>
      <c r="I29" s="170">
        <f t="shared" ref="I29:I35" si="3">+H29/G29-1</f>
        <v>-0.14467519880940971</v>
      </c>
      <c r="J29" s="252"/>
      <c r="K29" s="253"/>
      <c r="L29" s="54"/>
      <c r="M29" s="55" t="s">
        <v>84</v>
      </c>
      <c r="N29" s="70">
        <f t="shared" si="1"/>
        <v>114.61552869450679</v>
      </c>
      <c r="O29" s="70">
        <f t="shared" si="1"/>
        <v>81.294896087020788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7" t="s">
        <v>3</v>
      </c>
      <c r="D30" s="168">
        <f>'Resumen (G)'!E32-SUM('TipoRecurso (G)'!D28:D29,'TipoRecurso (G)'!D31:D34)</f>
        <v>114.61552869450679</v>
      </c>
      <c r="E30" s="169">
        <f>'Resumen (G)'!F32-SUM('TipoRecurso (G)'!E28:E29,'TipoRecurso (G)'!E31:E34)</f>
        <v>81.294896087020788</v>
      </c>
      <c r="F30" s="170">
        <f t="shared" si="2"/>
        <v>-0.29071656334019047</v>
      </c>
      <c r="G30" s="246">
        <f>'Resumen (G)'!H32-SUM('TipoRecurso (G)'!G28:G29,'TipoRecurso (G)'!G31:G34)</f>
        <v>1508.923120566149</v>
      </c>
      <c r="H30" s="169">
        <f>'Resumen (G)'!I32-SUM('TipoRecurso (G)'!H28:H29,'TipoRecurso (G)'!H31:H34)</f>
        <v>1082.2614374165787</v>
      </c>
      <c r="I30" s="170">
        <f t="shared" si="3"/>
        <v>-0.28275905997748019</v>
      </c>
      <c r="J30" s="290"/>
      <c r="K30" s="54"/>
      <c r="L30" s="54"/>
      <c r="M30" s="55" t="s">
        <v>4</v>
      </c>
      <c r="N30" s="99">
        <f>D34</f>
        <v>0.34799999999999998</v>
      </c>
      <c r="O30" s="99">
        <f>E34</f>
        <v>0.32725940845553486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7" t="s">
        <v>6</v>
      </c>
      <c r="D31" s="168">
        <f>'Resumen (G)'!E57+'Resumen (G)'!E62-SUM('TipoRecurso (G)'!D32:D33)</f>
        <v>43.706600542499984</v>
      </c>
      <c r="E31" s="169">
        <f>'Resumen (G)'!F57+'Resumen (G)'!F62-SUM('TipoRecurso (G)'!E32:E33)</f>
        <v>39.467101190187975</v>
      </c>
      <c r="F31" s="170">
        <f t="shared" si="2"/>
        <v>-9.6999064207465624E-2</v>
      </c>
      <c r="G31" s="246">
        <f>'Resumen (G)'!H57+'Resumen (G)'!H62-SUM('TipoRecurso (G)'!G32:G33)</f>
        <v>543.16329547000032</v>
      </c>
      <c r="H31" s="169">
        <f>'Resumen (G)'!I57+'Resumen (G)'!I62-SUM('TipoRecurso (G)'!H32:H33)</f>
        <v>534.66216772250027</v>
      </c>
      <c r="I31" s="170">
        <f t="shared" si="3"/>
        <v>-1.5651145462883376E-2</v>
      </c>
      <c r="J31" s="20"/>
      <c r="K31" s="54"/>
      <c r="L31" s="54"/>
      <c r="M31" s="55" t="s">
        <v>90</v>
      </c>
      <c r="N31" s="70">
        <f t="shared" ref="N31:O33" si="4">D31</f>
        <v>43.706600542499984</v>
      </c>
      <c r="O31" s="70">
        <f t="shared" si="4"/>
        <v>39.467101190187975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7" t="s">
        <v>14</v>
      </c>
      <c r="D32" s="168">
        <f>'Resumen (G)'!E43</f>
        <v>112.89675227750001</v>
      </c>
      <c r="E32" s="169">
        <f>'Resumen (G)'!F43</f>
        <v>159.17320367750006</v>
      </c>
      <c r="F32" s="170">
        <f t="shared" si="2"/>
        <v>0.40990064343261712</v>
      </c>
      <c r="G32" s="246">
        <f>'Resumen (G)'!H43</f>
        <v>1655.0389920000002</v>
      </c>
      <c r="H32" s="169">
        <f>'Resumen (G)'!I43</f>
        <v>1804.4223259149999</v>
      </c>
      <c r="I32" s="170">
        <f t="shared" si="3"/>
        <v>9.0259706651672378E-2</v>
      </c>
      <c r="J32" s="20"/>
      <c r="K32" s="54"/>
      <c r="L32" s="54"/>
      <c r="M32" s="55" t="s">
        <v>14</v>
      </c>
      <c r="N32" s="70">
        <f t="shared" si="4"/>
        <v>112.89675227750001</v>
      </c>
      <c r="O32" s="70">
        <f t="shared" si="4"/>
        <v>159.17320367750006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7" t="s">
        <v>5</v>
      </c>
      <c r="D33" s="168">
        <f>'Resumen (G)'!E44</f>
        <v>57.716277254999994</v>
      </c>
      <c r="E33" s="169">
        <f>'Resumen (G)'!F44</f>
        <v>72.948053459999926</v>
      </c>
      <c r="F33" s="170">
        <f t="shared" si="2"/>
        <v>0.26390780780443346</v>
      </c>
      <c r="G33" s="246">
        <f>'Resumen (G)'!H44</f>
        <v>763.058627</v>
      </c>
      <c r="H33" s="169">
        <f>'Resumen (G)'!I44</f>
        <v>777.93828949750014</v>
      </c>
      <c r="I33" s="170">
        <f t="shared" si="3"/>
        <v>1.9500025254940434E-2</v>
      </c>
      <c r="J33" s="20"/>
      <c r="K33" s="54"/>
      <c r="L33" s="54"/>
      <c r="M33" s="55" t="s">
        <v>5</v>
      </c>
      <c r="N33" s="70">
        <f t="shared" si="4"/>
        <v>57.716277254999994</v>
      </c>
      <c r="O33" s="70">
        <f t="shared" si="4"/>
        <v>72.948053459999926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1" t="s">
        <v>4</v>
      </c>
      <c r="D34" s="172">
        <v>0.34799999999999998</v>
      </c>
      <c r="E34" s="173">
        <v>0.32725940845553486</v>
      </c>
      <c r="F34" s="174">
        <f t="shared" si="2"/>
        <v>-5.9599400989842288E-2</v>
      </c>
      <c r="G34" s="377">
        <v>4.5304671552959999</v>
      </c>
      <c r="H34" s="378">
        <v>2.6989999999999998</v>
      </c>
      <c r="I34" s="174">
        <f t="shared" si="3"/>
        <v>-0.40425569649148918</v>
      </c>
      <c r="J34" s="20"/>
      <c r="K34" s="54"/>
      <c r="L34" s="54"/>
      <c r="M34" s="97"/>
      <c r="N34" s="98">
        <f>SUM(N27:N33)</f>
        <v>4969.5012753063083</v>
      </c>
      <c r="O34" s="98">
        <f>SUM(O27:O33)</f>
        <v>4915.5039934243332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3" t="s">
        <v>106</v>
      </c>
      <c r="D35" s="294">
        <f>SUM(D28:D34)</f>
        <v>4969.5012753063083</v>
      </c>
      <c r="E35" s="295">
        <f>SUM(E28:E34)</f>
        <v>4915.5039934243332</v>
      </c>
      <c r="F35" s="296">
        <f t="shared" si="2"/>
        <v>-1.0865734585941311E-2</v>
      </c>
      <c r="G35" s="297">
        <f>SUM(G28:G34)</f>
        <v>56968.504119371806</v>
      </c>
      <c r="H35" s="295">
        <f>SUM(H28:H34)</f>
        <v>52703.201698839512</v>
      </c>
      <c r="I35" s="298">
        <f t="shared" si="3"/>
        <v>-7.4871237826339643E-2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5"/>
      <c r="D36" s="175"/>
      <c r="E36" s="176"/>
      <c r="F36" s="177"/>
      <c r="G36" s="17"/>
      <c r="H36" s="17"/>
      <c r="I36" s="18"/>
      <c r="J36" s="20"/>
      <c r="K36" s="54"/>
      <c r="L36" s="54"/>
      <c r="M36" s="55"/>
      <c r="N36" s="98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0"/>
      <c r="N39" s="220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0">
        <f t="shared" ref="M40:N46" si="5">N27/N$34</f>
        <v>0.67307133405316089</v>
      </c>
      <c r="N40" s="220">
        <f t="shared" si="5"/>
        <v>0.70140886485724552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0">
        <f t="shared" si="5"/>
        <v>0.26066786017831445</v>
      </c>
      <c r="N41" s="220">
        <f t="shared" si="5"/>
        <v>0.22673471629014669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0">
        <f t="shared" si="5"/>
        <v>2.3063788968932734E-2</v>
      </c>
      <c r="N42" s="220">
        <f t="shared" si="5"/>
        <v>1.6538466085221828E-2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0">
        <f t="shared" si="5"/>
        <v>7.0027147740001343E-5</v>
      </c>
      <c r="N43" s="220">
        <f t="shared" si="5"/>
        <v>6.6576979470126134E-5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0">
        <f t="shared" si="5"/>
        <v>8.794967164950776E-3</v>
      </c>
      <c r="N44" s="220">
        <f t="shared" si="5"/>
        <v>8.0291057118425085E-3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0">
        <f t="shared" si="5"/>
        <v>2.271792399742192E-2</v>
      </c>
      <c r="N45" s="220">
        <f t="shared" si="5"/>
        <v>3.2381868449386356E-2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0">
        <f t="shared" si="5"/>
        <v>1.1614098489479209E-2</v>
      </c>
      <c r="N46" s="220">
        <f t="shared" si="5"/>
        <v>1.4840401626686798E-2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0">
        <f>N34/N$34</f>
        <v>1</v>
      </c>
      <c r="N47" s="220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100</v>
      </c>
      <c r="D49" s="26"/>
      <c r="E49" s="26"/>
      <c r="F49" s="26"/>
      <c r="G49" s="26"/>
      <c r="H49" s="26"/>
      <c r="I49" s="26"/>
      <c r="M49" s="221">
        <f>SUM(M39:M46)</f>
        <v>0.99999999999999989</v>
      </c>
      <c r="N49" s="221">
        <f>SUM(N39:N46)</f>
        <v>0.99999999999999967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125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401" t="s">
        <v>91</v>
      </c>
      <c r="D53" s="403" t="s">
        <v>119</v>
      </c>
      <c r="E53" s="403"/>
      <c r="F53" s="399" t="s">
        <v>74</v>
      </c>
      <c r="G53" s="397" t="s">
        <v>120</v>
      </c>
      <c r="H53" s="398"/>
      <c r="I53" s="399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402"/>
      <c r="D54" s="95">
        <v>2020</v>
      </c>
      <c r="E54" s="96">
        <v>2021</v>
      </c>
      <c r="F54" s="400"/>
      <c r="G54" s="231">
        <v>2019</v>
      </c>
      <c r="H54" s="96">
        <v>2020</v>
      </c>
      <c r="I54" s="400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0" t="s">
        <v>42</v>
      </c>
      <c r="D55" s="281">
        <f>SUM(D28:D30,D34)</f>
        <v>4755.1816452313078</v>
      </c>
      <c r="E55" s="282">
        <f>SUM(E28:E30,E34)</f>
        <v>4643.915635096645</v>
      </c>
      <c r="F55" s="166">
        <f>+E55/D55-1</f>
        <v>-2.3398897967703336E-2</v>
      </c>
      <c r="G55" s="283">
        <f>SUM(G28:G30,G34)</f>
        <v>54007.243204901803</v>
      </c>
      <c r="H55" s="282">
        <f>SUM(H28:H30,H34)</f>
        <v>49586.178915704513</v>
      </c>
      <c r="I55" s="166">
        <f>+H55/G55-1</f>
        <v>-8.1860580671076044E-2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75" thickBot="1">
      <c r="C56" s="284" t="s">
        <v>116</v>
      </c>
      <c r="D56" s="285">
        <f>SUM(D31:D33)</f>
        <v>214.31963007499999</v>
      </c>
      <c r="E56" s="286">
        <f>SUM(E31:E33)</f>
        <v>271.58835832768796</v>
      </c>
      <c r="F56" s="348">
        <f>+E56/D56-1</f>
        <v>0.26721177258773299</v>
      </c>
      <c r="G56" s="287">
        <f>SUM(G31:G33)</f>
        <v>2961.2609144700004</v>
      </c>
      <c r="H56" s="286">
        <f>SUM(H31:H33)</f>
        <v>3117.0227831350003</v>
      </c>
      <c r="I56" s="349">
        <f>+H56/G56-1</f>
        <v>5.2599846201960787E-2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2" t="s">
        <v>71</v>
      </c>
      <c r="D57" s="100">
        <f>SUM(D55:D56)</f>
        <v>4969.5012753063074</v>
      </c>
      <c r="E57" s="101">
        <f>SUM(E55:E56)</f>
        <v>4915.5039934243332</v>
      </c>
      <c r="F57" s="102">
        <f>+E57/D57-1</f>
        <v>-1.0865734585941089E-2</v>
      </c>
      <c r="G57" s="247">
        <f>SUM(G55:G56)</f>
        <v>56968.504119371806</v>
      </c>
      <c r="H57" s="101">
        <f>SUM(H55:H56)</f>
        <v>52703.201698839512</v>
      </c>
      <c r="I57" s="102">
        <f>+H57/G57-1</f>
        <v>-7.4871237826339643E-2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4" t="s">
        <v>8</v>
      </c>
      <c r="D58" s="103">
        <f>+D56/D57</f>
        <v>4.312698965185191E-2</v>
      </c>
      <c r="E58" s="104">
        <f>+E56/E57</f>
        <v>5.5251375787915662E-2</v>
      </c>
      <c r="F58" s="105"/>
      <c r="G58" s="248">
        <f>+G56/G57</f>
        <v>5.1980668270049254E-2</v>
      </c>
      <c r="H58" s="104">
        <f>+H56/H57</f>
        <v>5.9142949245218908E-2</v>
      </c>
      <c r="I58" s="105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56" t="s">
        <v>117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57</v>
      </c>
      <c r="M63" s="76">
        <f>D55</f>
        <v>4755.1816452313078</v>
      </c>
      <c r="N63" s="76">
        <f>E55</f>
        <v>4643.915635096645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58</v>
      </c>
      <c r="M64" s="76">
        <f>D56</f>
        <v>214.31963007499999</v>
      </c>
      <c r="N64" s="76">
        <f>E56</f>
        <v>271.58835832768796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56" t="s">
        <v>117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113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126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2019</v>
      </c>
      <c r="O75" s="55">
        <v>2020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08"/>
      <c r="D76" s="403" t="s">
        <v>119</v>
      </c>
      <c r="E76" s="403"/>
      <c r="F76" s="106" t="s">
        <v>74</v>
      </c>
      <c r="G76" s="397" t="s">
        <v>120</v>
      </c>
      <c r="H76" s="398"/>
      <c r="I76" s="218" t="s">
        <v>74</v>
      </c>
      <c r="J76" s="19"/>
      <c r="K76" s="57"/>
      <c r="L76" s="57"/>
      <c r="M76" s="55" t="s">
        <v>96</v>
      </c>
      <c r="N76" s="70">
        <f>D78</f>
        <v>3.8554771800000003</v>
      </c>
      <c r="O76" s="70">
        <f>E78</f>
        <v>0.35559531749999984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5" t="s">
        <v>95</v>
      </c>
      <c r="D77" s="126">
        <v>2020</v>
      </c>
      <c r="E77" s="223">
        <v>2021</v>
      </c>
      <c r="F77" s="107"/>
      <c r="G77" s="327">
        <v>2019</v>
      </c>
      <c r="H77" s="96">
        <v>2020</v>
      </c>
      <c r="I77" s="219"/>
      <c r="J77" s="19"/>
      <c r="K77" s="57"/>
      <c r="L77" s="57"/>
      <c r="M77" s="55" t="s">
        <v>97</v>
      </c>
      <c r="N77" s="70">
        <f>D79</f>
        <v>4731.4207936543016</v>
      </c>
      <c r="O77" s="70">
        <f>E79</f>
        <v>4687.8849200127124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09" t="s">
        <v>96</v>
      </c>
      <c r="D78" s="360">
        <v>3.8554771800000003</v>
      </c>
      <c r="E78" s="359">
        <v>0.35559531749999984</v>
      </c>
      <c r="F78" s="156">
        <f>((E78/D78)-1)</f>
        <v>-0.90776879205909355</v>
      </c>
      <c r="G78" s="227">
        <v>192.56690263249999</v>
      </c>
      <c r="H78" s="315">
        <v>81.67853968499999</v>
      </c>
      <c r="I78" s="156">
        <f>((H78/G78)-1)</f>
        <v>-0.57584331176122427</v>
      </c>
      <c r="J78" s="19"/>
      <c r="K78" s="251"/>
      <c r="L78" s="57"/>
    </row>
    <row r="79" spans="2:28" ht="16.5" customHeight="1" thickBot="1">
      <c r="C79" s="288" t="s">
        <v>97</v>
      </c>
      <c r="D79" s="158">
        <f>'Resumen (G)'!E40-D78</f>
        <v>4731.4207936543016</v>
      </c>
      <c r="E79" s="313">
        <f>'Resumen (G)'!F40-E78</f>
        <v>4687.8849200127124</v>
      </c>
      <c r="F79" s="159">
        <f>((E79/D79)-1)</f>
        <v>-9.2014376949898224E-3</v>
      </c>
      <c r="G79" s="228">
        <f>'Resumen (G)'!H40-G78</f>
        <v>54256.0250526663</v>
      </c>
      <c r="H79" s="313">
        <f>'Resumen (G)'!I40-H78</f>
        <v>50538.129738412943</v>
      </c>
      <c r="I79" s="159">
        <f>((H79/G79)-1)</f>
        <v>-6.8525022071639019E-2</v>
      </c>
      <c r="J79" s="19"/>
      <c r="K79" s="57"/>
      <c r="L79" s="57"/>
      <c r="M79" s="70"/>
      <c r="N79" s="70"/>
      <c r="O79" s="70"/>
    </row>
    <row r="80" spans="2:28" ht="14.25" thickTop="1" thickBot="1">
      <c r="C80" s="127" t="s">
        <v>94</v>
      </c>
      <c r="D80" s="222">
        <f>SUM(D78:D79)</f>
        <v>4735.2762708343016</v>
      </c>
      <c r="E80" s="314">
        <f>SUM(E78:E79)</f>
        <v>4688.2405153302125</v>
      </c>
      <c r="F80" s="128"/>
      <c r="G80" s="249">
        <f>SUM(G78:G79)</f>
        <v>54448.591955298798</v>
      </c>
      <c r="H80" s="314">
        <f>SUM(H78:H79)</f>
        <v>50619.808278097946</v>
      </c>
      <c r="I80" s="128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8"/>
  <sheetViews>
    <sheetView view="pageBreakPreview" topLeftCell="A19" zoomScale="60" zoomScaleNormal="100" workbookViewId="0">
      <selection activeCell="C54" sqref="C54:H60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2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129</v>
      </c>
      <c r="D4" s="3"/>
      <c r="E4" s="23"/>
      <c r="F4" s="23"/>
      <c r="G4" s="23"/>
      <c r="H4" s="23"/>
      <c r="I4" s="23"/>
      <c r="J4" s="23"/>
    </row>
    <row r="6" spans="2:13">
      <c r="C6" s="10" t="s">
        <v>128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1" t="s">
        <v>44</v>
      </c>
      <c r="D8" s="404" t="s">
        <v>119</v>
      </c>
      <c r="E8" s="405"/>
      <c r="F8" s="399" t="s">
        <v>74</v>
      </c>
      <c r="G8" s="397" t="s">
        <v>120</v>
      </c>
      <c r="H8" s="398"/>
      <c r="I8" s="399" t="s">
        <v>74</v>
      </c>
      <c r="J8" s="26"/>
    </row>
    <row r="9" spans="2:13" s="1" customFormat="1" ht="13.5" customHeight="1">
      <c r="B9" s="19"/>
      <c r="C9" s="202"/>
      <c r="D9" s="110">
        <v>2020</v>
      </c>
      <c r="E9" s="96">
        <v>2021</v>
      </c>
      <c r="F9" s="400"/>
      <c r="G9" s="231">
        <v>2019</v>
      </c>
      <c r="H9" s="96">
        <v>2020</v>
      </c>
      <c r="I9" s="400"/>
      <c r="J9" s="26"/>
    </row>
    <row r="10" spans="2:13">
      <c r="C10" s="192" t="s">
        <v>10</v>
      </c>
      <c r="D10" s="193">
        <f>'Por Región (G)'!O8</f>
        <v>321.85755961609306</v>
      </c>
      <c r="E10" s="194">
        <f>'Por Región (G)'!P8</f>
        <v>369.67946156999994</v>
      </c>
      <c r="F10" s="350">
        <f>+E10/D10-1</f>
        <v>0.148580949942416</v>
      </c>
      <c r="G10" s="323">
        <f>'Por Región (G)'!Q8</f>
        <v>3515.080558471413</v>
      </c>
      <c r="H10" s="194">
        <f>'Por Región (G)'!R8</f>
        <v>3349.9365633267753</v>
      </c>
      <c r="I10" s="350">
        <f>+H10/G10-1</f>
        <v>-4.6981567676062874E-2</v>
      </c>
      <c r="J10" s="26"/>
      <c r="L10" s="144" t="s">
        <v>9</v>
      </c>
      <c r="M10" s="224">
        <f>E11</f>
        <v>3862.9279159318307</v>
      </c>
    </row>
    <row r="11" spans="2:13">
      <c r="C11" s="195" t="s">
        <v>9</v>
      </c>
      <c r="D11" s="196">
        <f>'Por Región (G)'!O9</f>
        <v>3957.4363496162487</v>
      </c>
      <c r="E11" s="197">
        <f>'Por Región (G)'!P9</f>
        <v>3862.9279159318307</v>
      </c>
      <c r="F11" s="351">
        <f>+E11/D11-1</f>
        <v>-2.3881226464598115E-2</v>
      </c>
      <c r="G11" s="324">
        <f>'Por Región (G)'!Q9</f>
        <v>45713.284403147911</v>
      </c>
      <c r="H11" s="197">
        <f>'Por Región (G)'!R9</f>
        <v>42006.868222141558</v>
      </c>
      <c r="I11" s="351">
        <f>+H11/G11-1</f>
        <v>-8.1079629901874228E-2</v>
      </c>
      <c r="J11" s="26"/>
      <c r="L11" s="144" t="s">
        <v>12</v>
      </c>
      <c r="M11" s="224">
        <f>E12</f>
        <v>631.19661592249986</v>
      </c>
    </row>
    <row r="12" spans="2:13">
      <c r="C12" s="195" t="s">
        <v>12</v>
      </c>
      <c r="D12" s="196">
        <f>'Por Región (G)'!O10</f>
        <v>611.65480734063181</v>
      </c>
      <c r="E12" s="197">
        <f>'Por Región (G)'!P10</f>
        <v>631.19661592249986</v>
      </c>
      <c r="F12" s="351">
        <f>+E12/D12-1</f>
        <v>3.1949080342934533E-2</v>
      </c>
      <c r="G12" s="324">
        <f>'Por Región (G)'!Q10</f>
        <v>6880.0232079525103</v>
      </c>
      <c r="H12" s="197">
        <f>'Por Región (G)'!R10</f>
        <v>6844.7456387111552</v>
      </c>
      <c r="I12" s="351">
        <f>+H12/G12-1</f>
        <v>-5.1275363723450873E-3</v>
      </c>
      <c r="J12" s="26"/>
      <c r="L12" s="144" t="s">
        <v>10</v>
      </c>
      <c r="M12" s="224">
        <f>E10</f>
        <v>369.67946156999994</v>
      </c>
    </row>
    <row r="13" spans="2:13">
      <c r="C13" s="198" t="s">
        <v>11</v>
      </c>
      <c r="D13" s="199">
        <f>'Por Región (G)'!O11</f>
        <v>78.552558733333356</v>
      </c>
      <c r="E13" s="200">
        <f>'Por Región (G)'!P11</f>
        <v>51.7</v>
      </c>
      <c r="F13" s="352">
        <f>+E13/D13-1</f>
        <v>-0.34184193572218569</v>
      </c>
      <c r="G13" s="325">
        <f>'Por Región (G)'!Q11</f>
        <v>860.11594979999984</v>
      </c>
      <c r="H13" s="200">
        <f>'Por Región (G)'!R11</f>
        <v>501.65127466001235</v>
      </c>
      <c r="I13" s="352">
        <f>+H13/G13-1</f>
        <v>-0.41676319945391105</v>
      </c>
      <c r="J13" s="26"/>
      <c r="L13" s="144" t="s">
        <v>11</v>
      </c>
      <c r="M13" s="224">
        <f>E13</f>
        <v>51.7</v>
      </c>
    </row>
    <row r="14" spans="2:13" ht="13.5" thickBot="1">
      <c r="C14" s="203" t="s">
        <v>106</v>
      </c>
      <c r="D14" s="204">
        <f>SUM(D10:D13)</f>
        <v>4969.5012753063065</v>
      </c>
      <c r="E14" s="205">
        <f>SUM(E10:E13)</f>
        <v>4915.5039934243296</v>
      </c>
      <c r="F14" s="206">
        <f>+E14/D14-1</f>
        <v>-1.0865734585941644E-2</v>
      </c>
      <c r="G14" s="326">
        <f>SUM(G10:G13)</f>
        <v>56968.504119371828</v>
      </c>
      <c r="H14" s="205">
        <f>SUM(H10:H13)</f>
        <v>52703.201698839497</v>
      </c>
      <c r="I14" s="206">
        <f>+H14/G14-1</f>
        <v>-7.4871237826340198E-2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410" t="s">
        <v>93</v>
      </c>
      <c r="D18" s="410"/>
      <c r="E18" s="410"/>
      <c r="F18" s="410"/>
      <c r="G18" s="411" t="s">
        <v>105</v>
      </c>
      <c r="H18" s="412"/>
      <c r="I18" s="412"/>
      <c r="J18" s="412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19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5" thickBot="1">
      <c r="C53" s="207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406" t="s">
        <v>13</v>
      </c>
      <c r="D54" s="408" t="s">
        <v>131</v>
      </c>
      <c r="E54" s="409"/>
      <c r="F54" s="409"/>
      <c r="G54" s="409"/>
      <c r="H54" s="409"/>
      <c r="I54" s="19"/>
      <c r="J54" s="19"/>
    </row>
    <row r="55" spans="3:13">
      <c r="C55" s="407"/>
      <c r="D55" s="113" t="s">
        <v>14</v>
      </c>
      <c r="E55" s="331" t="s">
        <v>15</v>
      </c>
      <c r="F55" s="331" t="s">
        <v>5</v>
      </c>
      <c r="G55" s="114" t="s">
        <v>16</v>
      </c>
      <c r="H55" s="342" t="s">
        <v>71</v>
      </c>
      <c r="I55" s="19"/>
      <c r="J55" s="19"/>
    </row>
    <row r="56" spans="3:13">
      <c r="C56" s="208" t="s">
        <v>10</v>
      </c>
      <c r="D56" s="320">
        <f>'Resumen (G)'!F14-'PorZona (G)'!D58</f>
        <v>89.19668377250008</v>
      </c>
      <c r="E56" s="332">
        <v>152.03378022667246</v>
      </c>
      <c r="F56" s="332">
        <v>0</v>
      </c>
      <c r="G56" s="212">
        <v>128.4489975708274</v>
      </c>
      <c r="H56" s="343">
        <f>SUM(D56:G56)</f>
        <v>369.67946156999994</v>
      </c>
      <c r="I56" s="317"/>
      <c r="K56" s="299"/>
      <c r="L56" s="312"/>
      <c r="M56" s="347"/>
    </row>
    <row r="57" spans="3:13">
      <c r="C57" s="209" t="s">
        <v>9</v>
      </c>
      <c r="D57" s="321">
        <v>0</v>
      </c>
      <c r="E57" s="363">
        <v>2812.1371444736915</v>
      </c>
      <c r="F57" s="364">
        <v>6.4619999999999999E-3</v>
      </c>
      <c r="G57" s="213">
        <v>1050.7843094581394</v>
      </c>
      <c r="H57" s="344">
        <f>SUM(D57:G57)</f>
        <v>3862.9279159318307</v>
      </c>
      <c r="I57" s="317"/>
      <c r="K57" s="299"/>
      <c r="L57" s="312"/>
      <c r="M57" s="347"/>
    </row>
    <row r="58" spans="3:13">
      <c r="C58" s="209" t="s">
        <v>12</v>
      </c>
      <c r="D58" s="321">
        <v>69.976519904999975</v>
      </c>
      <c r="E58" s="333">
        <v>483.6071515286543</v>
      </c>
      <c r="F58" s="333">
        <f>'Resumen (G)'!D15-F57</f>
        <v>72.941591459999927</v>
      </c>
      <c r="G58" s="213">
        <v>4.671353028845715</v>
      </c>
      <c r="H58" s="344">
        <f>SUM(D58:G58)</f>
        <v>631.19661592249986</v>
      </c>
      <c r="I58" s="317"/>
      <c r="K58" s="299"/>
      <c r="L58" s="312"/>
      <c r="M58" s="347"/>
    </row>
    <row r="59" spans="3:13">
      <c r="C59" s="210" t="s">
        <v>11</v>
      </c>
      <c r="D59" s="322">
        <v>0</v>
      </c>
      <c r="E59" s="334">
        <v>0</v>
      </c>
      <c r="F59" s="334">
        <v>0</v>
      </c>
      <c r="G59" s="214">
        <f>E13</f>
        <v>51.7</v>
      </c>
      <c r="H59" s="345">
        <f>SUM(D59:G59)</f>
        <v>51.7</v>
      </c>
      <c r="I59" s="317"/>
      <c r="K59" s="19"/>
      <c r="L59" s="312"/>
      <c r="M59" s="312"/>
    </row>
    <row r="60" spans="3:13" ht="13.5" thickBot="1">
      <c r="C60" s="115" t="s">
        <v>106</v>
      </c>
      <c r="D60" s="215">
        <f>SUM(D56:D59)</f>
        <v>159.17320367750006</v>
      </c>
      <c r="E60" s="335">
        <f>SUM(E56:E59)</f>
        <v>3447.7780762290186</v>
      </c>
      <c r="F60" s="335">
        <f>SUM(F56:F59)</f>
        <v>72.948053459999926</v>
      </c>
      <c r="G60" s="216">
        <f>SUM(G56:G59)</f>
        <v>1235.6046600578127</v>
      </c>
      <c r="H60" s="346">
        <f>SUM(H56:H59)</f>
        <v>4915.5039934243296</v>
      </c>
      <c r="I60" s="19"/>
      <c r="J60" s="19"/>
      <c r="M60" s="312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299"/>
      <c r="G63" s="19"/>
      <c r="H63" s="19"/>
      <c r="I63" s="19"/>
      <c r="J63" s="19"/>
    </row>
    <row r="64" spans="3:13">
      <c r="F64" s="299"/>
      <c r="H64" s="121"/>
    </row>
    <row r="65" spans="5:6">
      <c r="F65" s="299"/>
    </row>
    <row r="67" spans="5:6">
      <c r="E67" s="318"/>
    </row>
    <row r="68" spans="5:6">
      <c r="E68" s="121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zoomScaleNormal="100" zoomScaleSheetLayoutView="100" workbookViewId="0">
      <selection activeCell="C6" sqref="C6:I33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08" t="s">
        <v>60</v>
      </c>
      <c r="D6" s="404" t="s">
        <v>119</v>
      </c>
      <c r="E6" s="405"/>
      <c r="F6" s="399" t="s">
        <v>74</v>
      </c>
      <c r="G6" s="397" t="s">
        <v>120</v>
      </c>
      <c r="H6" s="398"/>
      <c r="I6" s="399" t="s">
        <v>74</v>
      </c>
      <c r="O6" s="47"/>
      <c r="P6" s="86"/>
      <c r="Q6" s="413" t="s">
        <v>114</v>
      </c>
      <c r="R6" s="413"/>
    </row>
    <row r="7" spans="3:19" ht="12.75" customHeight="1">
      <c r="C7" s="109"/>
      <c r="D7" s="110">
        <v>2020</v>
      </c>
      <c r="E7" s="96">
        <v>2021</v>
      </c>
      <c r="F7" s="400"/>
      <c r="G7" s="231">
        <v>2019</v>
      </c>
      <c r="H7" s="96">
        <v>2020</v>
      </c>
      <c r="I7" s="400"/>
      <c r="N7" s="54"/>
      <c r="O7" s="309">
        <v>2019</v>
      </c>
      <c r="P7" s="311">
        <v>2020</v>
      </c>
      <c r="Q7" s="54">
        <v>2019</v>
      </c>
      <c r="R7" s="54">
        <v>2020</v>
      </c>
    </row>
    <row r="8" spans="3:19" ht="20.100000000000001" customHeight="1">
      <c r="C8" s="117" t="s">
        <v>17</v>
      </c>
      <c r="D8" s="365">
        <v>2.9000940000000002</v>
      </c>
      <c r="E8" s="366">
        <v>2.91</v>
      </c>
      <c r="F8" s="414">
        <f>+E8/D8-1</f>
        <v>3.4157513515078453E-3</v>
      </c>
      <c r="G8" s="232">
        <v>53.088641999999993</v>
      </c>
      <c r="H8" s="276">
        <v>37.053125547557563</v>
      </c>
      <c r="I8" s="353">
        <f>+H8/G8-1</f>
        <v>-0.30205173551891629</v>
      </c>
      <c r="J8" s="26"/>
      <c r="K8" s="46"/>
      <c r="L8" s="46"/>
      <c r="N8" s="57" t="s">
        <v>10</v>
      </c>
      <c r="O8" s="71">
        <f>SUM(D8,D13,D20,D21,D27,D29,D31)</f>
        <v>321.85755961609306</v>
      </c>
      <c r="P8" s="71">
        <f t="shared" ref="P8" si="0">SUM(E8,E13,E20,E21,E27,E29,E31)</f>
        <v>369.67946156999994</v>
      </c>
      <c r="Q8" s="71">
        <f>SUM(G8,G13,G20,G21,G27,G29,G31)</f>
        <v>3515.080558471413</v>
      </c>
      <c r="R8" s="71">
        <f>SUM(H8,H13,H20,H21,H27,H29,H31)</f>
        <v>3349.9365633267753</v>
      </c>
    </row>
    <row r="9" spans="3:19" ht="20.100000000000001" customHeight="1">
      <c r="C9" s="118" t="s">
        <v>18</v>
      </c>
      <c r="D9" s="217">
        <v>258.50927096750002</v>
      </c>
      <c r="E9" s="277">
        <v>275.55230767750004</v>
      </c>
      <c r="F9" s="354">
        <f t="shared" ref="F9:F32" si="1">+E9/D9-1</f>
        <v>6.5928145037949859E-2</v>
      </c>
      <c r="G9" s="233">
        <v>2264.8765923999999</v>
      </c>
      <c r="H9" s="277">
        <v>2191.2102341437871</v>
      </c>
      <c r="I9" s="355">
        <f t="shared" ref="I9:I32" si="2">+H9/G9-1</f>
        <v>-3.2525550620906674E-2</v>
      </c>
      <c r="J9" s="26"/>
      <c r="K9" s="46"/>
      <c r="L9" s="46"/>
      <c r="N9" s="57" t="s">
        <v>9</v>
      </c>
      <c r="O9" s="309">
        <f>SUM(D9,D14,D16,D17,D19,D22,D26,D32)</f>
        <v>3957.4363496162487</v>
      </c>
      <c r="P9" s="309">
        <f>SUM(E9,E14,E16,E17,E19,E22,E26,E32)</f>
        <v>3862.9279159318307</v>
      </c>
      <c r="Q9" s="309">
        <f>SUM(G9,G14,G16,G17,G19,G22,G26,G32)</f>
        <v>45713.284403147911</v>
      </c>
      <c r="R9" s="309">
        <f>SUM(H9,H14,H16,H17,H19,H22,H26,H32)</f>
        <v>42006.868222141558</v>
      </c>
    </row>
    <row r="10" spans="3:19" ht="20.100000000000001" customHeight="1">
      <c r="C10" s="119" t="s">
        <v>19</v>
      </c>
      <c r="D10" s="217">
        <v>4.9041018252845525</v>
      </c>
      <c r="E10" s="277">
        <v>4.4024999999999999</v>
      </c>
      <c r="F10" s="354">
        <f t="shared" si="1"/>
        <v>-0.10228209836475977</v>
      </c>
      <c r="G10" s="233">
        <v>44.702383985062518</v>
      </c>
      <c r="H10" s="277">
        <v>43.870447175149565</v>
      </c>
      <c r="I10" s="354">
        <f t="shared" si="2"/>
        <v>-1.8610569185548376E-2</v>
      </c>
      <c r="J10" s="26"/>
      <c r="K10" s="46"/>
      <c r="L10" s="46"/>
      <c r="N10" s="54" t="s">
        <v>12</v>
      </c>
      <c r="O10" s="309">
        <f>SUM(D10,D11,D12,D15,D18,D24,D25,D28,D30)</f>
        <v>611.65480734063181</v>
      </c>
      <c r="P10" s="309">
        <f t="shared" ref="P10" si="3">SUM(E10,E11,E12,E15,E18,E24,E25,E28,E30)</f>
        <v>631.19661592249986</v>
      </c>
      <c r="Q10" s="309">
        <f>SUM(G10,G11,G12,G15,G18,G24,G25,G28,G30)</f>
        <v>6880.0232079525103</v>
      </c>
      <c r="R10" s="309">
        <f>SUM(H10,H11,H12,H15,H18,H24,H25,H28,H30)</f>
        <v>6844.7456387111552</v>
      </c>
    </row>
    <row r="11" spans="3:19" ht="20.100000000000001" customHeight="1">
      <c r="C11" s="118" t="s">
        <v>20</v>
      </c>
      <c r="D11" s="217">
        <v>111.48367309249902</v>
      </c>
      <c r="E11" s="277">
        <v>120.34755074750007</v>
      </c>
      <c r="F11" s="355">
        <f t="shared" si="1"/>
        <v>7.9508302957031374E-2</v>
      </c>
      <c r="G11" s="233">
        <v>1199.6889547152684</v>
      </c>
      <c r="H11" s="277">
        <v>1251.9250749993921</v>
      </c>
      <c r="I11" s="354">
        <f t="shared" si="2"/>
        <v>4.3541386355866907E-2</v>
      </c>
      <c r="J11" s="26"/>
      <c r="K11" s="46"/>
      <c r="L11" s="46"/>
      <c r="N11" s="310" t="s">
        <v>11</v>
      </c>
      <c r="O11" s="71">
        <f>D23</f>
        <v>78.552558733333356</v>
      </c>
      <c r="P11" s="71">
        <f t="shared" ref="P11" si="4">E23</f>
        <v>51.7</v>
      </c>
      <c r="Q11" s="71">
        <f>G23</f>
        <v>860.11594979999984</v>
      </c>
      <c r="R11" s="71">
        <f>H23</f>
        <v>501.65127466001235</v>
      </c>
    </row>
    <row r="12" spans="3:19" ht="20.100000000000001" customHeight="1">
      <c r="C12" s="118" t="s">
        <v>21</v>
      </c>
      <c r="D12" s="329">
        <v>0.91159273368167759</v>
      </c>
      <c r="E12" s="304">
        <v>0.84899999999999998</v>
      </c>
      <c r="F12" s="354">
        <f t="shared" si="1"/>
        <v>-6.8663045863564975E-2</v>
      </c>
      <c r="G12" s="233">
        <v>9.4569924646801784</v>
      </c>
      <c r="H12" s="277">
        <v>11.465155733612194</v>
      </c>
      <c r="I12" s="354">
        <f t="shared" si="2"/>
        <v>0.21234692492693341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8" t="s">
        <v>22</v>
      </c>
      <c r="D13" s="217">
        <v>125.39010736345371</v>
      </c>
      <c r="E13" s="277">
        <v>138.64873839749995</v>
      </c>
      <c r="F13" s="354">
        <f t="shared" si="1"/>
        <v>0.10573905161126462</v>
      </c>
      <c r="G13" s="233">
        <v>1168.6212558584352</v>
      </c>
      <c r="H13" s="277">
        <v>1038.0716347711348</v>
      </c>
      <c r="I13" s="354">
        <f t="shared" si="2"/>
        <v>-0.11171251629459922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8" t="s">
        <v>59</v>
      </c>
      <c r="D14" s="217">
        <v>204.78708247281082</v>
      </c>
      <c r="E14" s="277">
        <v>270.57015764749991</v>
      </c>
      <c r="F14" s="354">
        <f t="shared" si="1"/>
        <v>0.32122668275926514</v>
      </c>
      <c r="G14" s="233">
        <v>3300.3917609812302</v>
      </c>
      <c r="H14" s="277">
        <v>2711.3166177437301</v>
      </c>
      <c r="I14" s="354">
        <f t="shared" si="2"/>
        <v>-0.17848643006621845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8" t="s">
        <v>23</v>
      </c>
      <c r="D15" s="217">
        <v>197.20381985916663</v>
      </c>
      <c r="E15" s="277">
        <v>201.09250794749985</v>
      </c>
      <c r="F15" s="354">
        <f t="shared" si="1"/>
        <v>1.9719131663424871E-2</v>
      </c>
      <c r="G15" s="233">
        <v>2085.4110148</v>
      </c>
      <c r="H15" s="277">
        <v>1953.3855748055003</v>
      </c>
      <c r="I15" s="355">
        <f t="shared" si="2"/>
        <v>-6.3309073874418753E-2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8" t="s">
        <v>24</v>
      </c>
      <c r="D16" s="217">
        <v>1023.9186398324999</v>
      </c>
      <c r="E16" s="277">
        <v>1014.2298274074998</v>
      </c>
      <c r="F16" s="355">
        <f t="shared" si="1"/>
        <v>-9.462482709158504E-3</v>
      </c>
      <c r="G16" s="233">
        <v>10278.137894285832</v>
      </c>
      <c r="H16" s="277">
        <v>10058.910550869288</v>
      </c>
      <c r="I16" s="355">
        <f t="shared" si="2"/>
        <v>-2.1329480658011435E-2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8" t="s">
        <v>25</v>
      </c>
      <c r="D17" s="217">
        <v>367.87104720333332</v>
      </c>
      <c r="E17" s="277">
        <v>356.52896897250008</v>
      </c>
      <c r="F17" s="354">
        <f t="shared" si="1"/>
        <v>-3.08316686432899E-2</v>
      </c>
      <c r="G17" s="233">
        <v>2483.0950180650002</v>
      </c>
      <c r="H17" s="277">
        <v>2169.8995522255004</v>
      </c>
      <c r="I17" s="355">
        <f t="shared" si="2"/>
        <v>-0.12613108381312099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8" t="s">
        <v>26</v>
      </c>
      <c r="D18" s="217">
        <v>105.46539852666668</v>
      </c>
      <c r="E18" s="277">
        <v>101.91997902999998</v>
      </c>
      <c r="F18" s="354">
        <f t="shared" si="1"/>
        <v>-3.3616897543607638E-2</v>
      </c>
      <c r="G18" s="233">
        <v>1659.8842018000003</v>
      </c>
      <c r="H18" s="277">
        <v>1651.0187508000001</v>
      </c>
      <c r="I18" s="354">
        <f t="shared" si="2"/>
        <v>-5.3410057101491715E-3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8" t="s">
        <v>27</v>
      </c>
      <c r="D19" s="217">
        <v>339.71880006166668</v>
      </c>
      <c r="E19" s="277">
        <v>323.74057382999973</v>
      </c>
      <c r="F19" s="354">
        <f t="shared" si="1"/>
        <v>-4.7033682648021102E-2</v>
      </c>
      <c r="G19" s="233">
        <v>2951.9019475999994</v>
      </c>
      <c r="H19" s="277">
        <v>2750.7635599424998</v>
      </c>
      <c r="I19" s="355">
        <f t="shared" si="2"/>
        <v>-6.8138573444498141E-2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8" t="s">
        <v>28</v>
      </c>
      <c r="D20" s="217">
        <v>69.190372092633979</v>
      </c>
      <c r="E20" s="277">
        <v>114.14313711749999</v>
      </c>
      <c r="F20" s="355">
        <f t="shared" si="1"/>
        <v>0.64969682435992704</v>
      </c>
      <c r="G20" s="233">
        <v>748.0673542829137</v>
      </c>
      <c r="H20" s="277">
        <v>792.01347636178923</v>
      </c>
      <c r="I20" s="354">
        <f t="shared" si="2"/>
        <v>5.8746210254023934E-2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8" t="s">
        <v>29</v>
      </c>
      <c r="D21" s="329">
        <v>5.5669063841666686</v>
      </c>
      <c r="E21" s="304">
        <v>4.1560865800000002</v>
      </c>
      <c r="F21" s="354">
        <f t="shared" si="1"/>
        <v>-0.2534297699309811</v>
      </c>
      <c r="G21" s="233">
        <v>63.855675950000006</v>
      </c>
      <c r="H21" s="277">
        <v>59.140739245000013</v>
      </c>
      <c r="I21" s="354">
        <f t="shared" si="2"/>
        <v>-7.3837394011643687E-2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8" t="s">
        <v>30</v>
      </c>
      <c r="D22" s="217">
        <v>1648.1008094051042</v>
      </c>
      <c r="E22" s="277">
        <v>1512.397323341831</v>
      </c>
      <c r="F22" s="354">
        <f t="shared" si="1"/>
        <v>-8.2339311581466013E-2</v>
      </c>
      <c r="G22" s="233">
        <v>23119.557393474468</v>
      </c>
      <c r="H22" s="277">
        <v>21166.680149874253</v>
      </c>
      <c r="I22" s="354">
        <f t="shared" si="2"/>
        <v>-8.4468625863547753E-2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8" t="s">
        <v>31</v>
      </c>
      <c r="D23" s="217">
        <v>78.552558733333356</v>
      </c>
      <c r="E23" s="277">
        <v>51.7</v>
      </c>
      <c r="F23" s="354">
        <f t="shared" si="1"/>
        <v>-0.34184193572218569</v>
      </c>
      <c r="G23" s="233">
        <v>860.11594979999984</v>
      </c>
      <c r="H23" s="277">
        <v>501.65127466001235</v>
      </c>
      <c r="I23" s="354">
        <f t="shared" si="2"/>
        <v>-0.41676319945391105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8" t="s">
        <v>32</v>
      </c>
      <c r="D24" s="329">
        <v>0.16299767000000004</v>
      </c>
      <c r="E24" s="277">
        <v>5.1201965000000002E-2</v>
      </c>
      <c r="F24" s="354">
        <f t="shared" si="1"/>
        <v>-0.68587302505612513</v>
      </c>
      <c r="G24" s="233">
        <v>2.0614140000000005</v>
      </c>
      <c r="H24" s="277">
        <v>6.4466520975000003</v>
      </c>
      <c r="I24" s="355">
        <f t="shared" si="2"/>
        <v>2.1272961653990894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8" t="s">
        <v>33</v>
      </c>
      <c r="D25" s="217">
        <v>50.879570430833333</v>
      </c>
      <c r="E25" s="277">
        <v>64.281721994999955</v>
      </c>
      <c r="F25" s="355">
        <f t="shared" si="1"/>
        <v>0.26340929081517639</v>
      </c>
      <c r="G25" s="233">
        <v>708.83223799999996</v>
      </c>
      <c r="H25" s="277">
        <v>710.49706075250003</v>
      </c>
      <c r="I25" s="354">
        <f t="shared" si="2"/>
        <v>2.3486837410180428E-3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8" t="s">
        <v>34</v>
      </c>
      <c r="D26" s="217">
        <v>105.72224905500002</v>
      </c>
      <c r="E26" s="277">
        <v>102.33142960500001</v>
      </c>
      <c r="F26" s="354">
        <f t="shared" si="1"/>
        <v>-3.2072903105154316E-2</v>
      </c>
      <c r="G26" s="233">
        <v>970.974997341375</v>
      </c>
      <c r="H26" s="277">
        <v>862.9068514925001</v>
      </c>
      <c r="I26" s="354">
        <f t="shared" si="2"/>
        <v>-0.1112985876513567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8" t="s">
        <v>35</v>
      </c>
      <c r="D27" s="217">
        <v>112.91586077583865</v>
      </c>
      <c r="E27" s="277">
        <v>105.87149947500002</v>
      </c>
      <c r="F27" s="355">
        <f t="shared" si="1"/>
        <v>-6.2385932786033882E-2</v>
      </c>
      <c r="G27" s="233">
        <v>1417.7770833800641</v>
      </c>
      <c r="H27" s="277">
        <v>1365.1058804012937</v>
      </c>
      <c r="I27" s="354">
        <f t="shared" si="2"/>
        <v>-3.7150553211933168E-2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8" t="s">
        <v>36</v>
      </c>
      <c r="D28" s="217">
        <v>127.56458544000002</v>
      </c>
      <c r="E28" s="277">
        <v>123.58976815500003</v>
      </c>
      <c r="F28" s="354">
        <f t="shared" si="1"/>
        <v>-3.1159253732451764E-2</v>
      </c>
      <c r="G28" s="233">
        <v>1017.4656691875</v>
      </c>
      <c r="H28" s="277">
        <v>1058.4964178724999</v>
      </c>
      <c r="I28" s="354">
        <f t="shared" si="2"/>
        <v>4.032642076048143E-2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8" t="s">
        <v>37</v>
      </c>
      <c r="D29" s="217">
        <v>4.7936710000000007</v>
      </c>
      <c r="E29" s="277">
        <v>3.95</v>
      </c>
      <c r="F29" s="354">
        <f t="shared" si="1"/>
        <v>-0.17599685084771155</v>
      </c>
      <c r="G29" s="233">
        <v>50.181501000000004</v>
      </c>
      <c r="H29" s="277">
        <v>45.345131000000002</v>
      </c>
      <c r="I29" s="355">
        <f t="shared" si="2"/>
        <v>-9.6377547574752698E-2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8" t="s">
        <v>38</v>
      </c>
      <c r="D30" s="217">
        <v>13.079067762499999</v>
      </c>
      <c r="E30" s="277">
        <v>14.662386082499999</v>
      </c>
      <c r="F30" s="354">
        <f t="shared" si="1"/>
        <v>0.12105742922593099</v>
      </c>
      <c r="G30" s="233">
        <v>152.52033900000001</v>
      </c>
      <c r="H30" s="277">
        <v>157.64050447500003</v>
      </c>
      <c r="I30" s="354">
        <f t="shared" si="2"/>
        <v>3.3570378275910029E-2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8" t="s">
        <v>39</v>
      </c>
      <c r="D31" s="217">
        <v>1.1005480000000003</v>
      </c>
      <c r="E31" s="277">
        <v>0</v>
      </c>
      <c r="F31" s="355">
        <f>+E31/D31-1</f>
        <v>-1</v>
      </c>
      <c r="G31" s="328">
        <v>13.489046000000005</v>
      </c>
      <c r="H31" s="304">
        <v>13.206576000000007</v>
      </c>
      <c r="I31" s="354">
        <f t="shared" si="2"/>
        <v>-2.0940695138855436E-2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0" t="s">
        <v>40</v>
      </c>
      <c r="D32" s="211">
        <v>8.8084506183333335</v>
      </c>
      <c r="E32" s="278">
        <v>7.5773274500000003</v>
      </c>
      <c r="F32" s="356">
        <f t="shared" si="1"/>
        <v>-0.1397661429549204</v>
      </c>
      <c r="G32" s="234">
        <v>344.34879899999993</v>
      </c>
      <c r="H32" s="278">
        <v>95.180705849999995</v>
      </c>
      <c r="I32" s="356">
        <f t="shared" si="2"/>
        <v>-0.72359216548334748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16" t="s">
        <v>106</v>
      </c>
      <c r="D33" s="111">
        <f>SUM(D8:D32)</f>
        <v>4969.5012753063065</v>
      </c>
      <c r="E33" s="279">
        <f>SUM(E8:E32)</f>
        <v>4915.5039934243305</v>
      </c>
      <c r="F33" s="116">
        <f>+E33/D33-1</f>
        <v>-1.0865734585941533E-2</v>
      </c>
      <c r="G33" s="235">
        <f>SUM(G8:G32)</f>
        <v>56968.504119371843</v>
      </c>
      <c r="H33" s="279">
        <f>SUM(H8:H32)</f>
        <v>52703.201698839497</v>
      </c>
      <c r="I33" s="236">
        <f>+H33/G33-1</f>
        <v>-7.487123782634042E-2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127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30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1512.397323341831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1014.2298274074998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25</v>
      </c>
      <c r="O46" s="53">
        <v>356.52896897250008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323.74057382999973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18</v>
      </c>
      <c r="O48" s="53">
        <v>275.55230767750004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59</v>
      </c>
      <c r="O49" s="53">
        <v>270.57015764749991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23</v>
      </c>
      <c r="O50" s="52">
        <v>201.09250794749985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22</v>
      </c>
      <c r="O51" s="53">
        <v>138.64873839749995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36</v>
      </c>
      <c r="O52" s="53">
        <v>123.58976815500003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20</v>
      </c>
      <c r="O53" s="53">
        <v>120.34755074750007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28</v>
      </c>
      <c r="O54" s="53">
        <v>114.14313711749999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35</v>
      </c>
      <c r="O55" s="52">
        <v>105.87149947500002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34</v>
      </c>
      <c r="O56" s="53">
        <v>102.33142960500001</v>
      </c>
      <c r="P56" s="8"/>
      <c r="S56" s="91"/>
    </row>
    <row r="57" spans="3:19">
      <c r="N57" s="51" t="s">
        <v>26</v>
      </c>
      <c r="O57" s="52">
        <v>101.91997902999998</v>
      </c>
      <c r="S57" s="91"/>
    </row>
    <row r="58" spans="3:19">
      <c r="N58" s="51" t="s">
        <v>33</v>
      </c>
      <c r="O58" s="52">
        <v>64.281721994999955</v>
      </c>
      <c r="S58" s="91"/>
    </row>
    <row r="59" spans="3:19">
      <c r="N59" s="51" t="s">
        <v>31</v>
      </c>
      <c r="O59" s="52">
        <v>51.7</v>
      </c>
      <c r="S59" s="91"/>
    </row>
    <row r="60" spans="3:19">
      <c r="N60" s="51" t="s">
        <v>38</v>
      </c>
      <c r="O60" s="52">
        <v>14.662386082499999</v>
      </c>
      <c r="S60" s="91"/>
    </row>
    <row r="61" spans="3:19">
      <c r="N61" s="51" t="s">
        <v>40</v>
      </c>
      <c r="O61" s="52">
        <v>7.5773274500000003</v>
      </c>
      <c r="S61" s="91"/>
    </row>
    <row r="62" spans="3:19">
      <c r="N62" s="51" t="s">
        <v>19</v>
      </c>
      <c r="O62" s="52">
        <v>4.4024999999999999</v>
      </c>
      <c r="S62" s="91"/>
    </row>
    <row r="63" spans="3:19">
      <c r="N63" s="50" t="s">
        <v>29</v>
      </c>
      <c r="O63" s="53">
        <v>4.1560865800000002</v>
      </c>
      <c r="S63" s="91"/>
    </row>
    <row r="64" spans="3:19">
      <c r="N64" s="50" t="s">
        <v>37</v>
      </c>
      <c r="O64" s="53">
        <v>3.95</v>
      </c>
      <c r="S64" s="91"/>
    </row>
    <row r="65" spans="6:19">
      <c r="N65" s="50" t="s">
        <v>17</v>
      </c>
      <c r="O65" s="53">
        <v>2.91</v>
      </c>
      <c r="S65" s="91"/>
    </row>
    <row r="66" spans="6:19">
      <c r="N66" s="50" t="s">
        <v>21</v>
      </c>
      <c r="O66" s="53">
        <v>0.84899999999999998</v>
      </c>
      <c r="S66" s="91"/>
    </row>
    <row r="67" spans="6:19">
      <c r="N67" s="51" t="s">
        <v>32</v>
      </c>
      <c r="O67" s="52">
        <v>5.1201965000000002E-2</v>
      </c>
      <c r="S67" s="91"/>
    </row>
    <row r="68" spans="6:19">
      <c r="N68" s="9" t="s">
        <v>39</v>
      </c>
      <c r="O68" s="52">
        <v>0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Dora</cp:lastModifiedBy>
  <cp:lastPrinted>2019-06-07T20:06:27Z</cp:lastPrinted>
  <dcterms:created xsi:type="dcterms:W3CDTF">2018-08-23T14:00:28Z</dcterms:created>
  <dcterms:modified xsi:type="dcterms:W3CDTF">2021-02-16T02:26:09Z</dcterms:modified>
</cp:coreProperties>
</file>